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Websites\ND-marketing\_dev\ads\downloads\out\"/>
    </mc:Choice>
  </mc:AlternateContent>
  <xr:revisionPtr revIDLastSave="0" documentId="13_ncr:1_{21787F8D-430F-4119-B680-43321FC6DAF7}" xr6:coauthVersionLast="47" xr6:coauthVersionMax="47" xr10:uidLastSave="{00000000-0000-0000-0000-000000000000}"/>
  <bookViews>
    <workbookView xWindow="29040" yWindow="150" windowWidth="23010" windowHeight="12210" xr2:uid="{00000000-000D-0000-FFFF-FFFF00000000}"/>
  </bookViews>
  <sheets>
    <sheet name="About" sheetId="1" r:id="rId1"/>
    <sheet name="Setup" sheetId="2" r:id="rId2"/>
    <sheet name="Workers" sheetId="3" r:id="rId3"/>
    <sheet name="Jan" sheetId="4" r:id="rId4"/>
    <sheet name="Feb" sheetId="5" r:id="rId5"/>
    <sheet name="Mar" sheetId="6" r:id="rId6"/>
    <sheet name="Apr" sheetId="7" r:id="rId7"/>
    <sheet name="May" sheetId="8" r:id="rId8"/>
    <sheet name="Jun" sheetId="9" r:id="rId9"/>
    <sheet name="Jul" sheetId="10" r:id="rId10"/>
    <sheet name="Aug" sheetId="11" r:id="rId11"/>
    <sheet name="Sep" sheetId="12" r:id="rId12"/>
    <sheet name="Oct" sheetId="13" r:id="rId13"/>
    <sheet name="Nov" sheetId="14" r:id="rId14"/>
    <sheet name="Dec" sheetId="15" r:id="rId15"/>
    <sheet name="Payments" sheetId="16" r:id="rId16"/>
    <sheet name="Year summary" sheetId="17" r:id="rId17"/>
  </sheets>
  <definedNames>
    <definedName name="_xlnm._FilterDatabase" localSheetId="15" hidden="1">Payments!$A$4:$G$304</definedName>
    <definedName name="_xlnm.Print_Titles" localSheetId="6">Apr!$1:$4</definedName>
    <definedName name="_xlnm.Print_Titles" localSheetId="10">Aug!$1:$4</definedName>
    <definedName name="_xlnm.Print_Titles" localSheetId="14">Dec!$1:$4</definedName>
    <definedName name="_xlnm.Print_Titles" localSheetId="4">Feb!$1:$4</definedName>
    <definedName name="_xlnm.Print_Titles" localSheetId="3">Jan!$1:$4</definedName>
    <definedName name="_xlnm.Print_Titles" localSheetId="9">Jul!$1:$4</definedName>
    <definedName name="_xlnm.Print_Titles" localSheetId="8">Jun!$1:$4</definedName>
    <definedName name="_xlnm.Print_Titles" localSheetId="5">Mar!$1:$4</definedName>
    <definedName name="_xlnm.Print_Titles" localSheetId="7">May!$1:$4</definedName>
    <definedName name="_xlnm.Print_Titles" localSheetId="13">Nov!$1:$4</definedName>
    <definedName name="_xlnm.Print_Titles" localSheetId="12">Oct!$1:$4</definedName>
    <definedName name="_xlnm.Print_Titles" localSheetId="15">Payments!$1:$4</definedName>
    <definedName name="_xlnm.Print_Titles" localSheetId="11">Sep!$1:$4</definedName>
    <definedName name="_xlnm.Print_Titles" localSheetId="2">Workers!$1:$4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45" i="17" l="1"/>
  <c r="A45" i="17"/>
  <c r="Q45" i="17" s="1"/>
  <c r="J44" i="17"/>
  <c r="D44" i="17"/>
  <c r="A44" i="17"/>
  <c r="T44" i="17" s="1"/>
  <c r="B43" i="17"/>
  <c r="A43" i="17"/>
  <c r="G43" i="17" s="1"/>
  <c r="O42" i="17"/>
  <c r="J42" i="17"/>
  <c r="E42" i="17"/>
  <c r="A42" i="17"/>
  <c r="Z42" i="17" s="1"/>
  <c r="J41" i="17"/>
  <c r="H41" i="17"/>
  <c r="A41" i="17"/>
  <c r="V41" i="17" s="1"/>
  <c r="A40" i="17"/>
  <c r="AA40" i="17" s="1"/>
  <c r="Z39" i="17"/>
  <c r="P39" i="17"/>
  <c r="F39" i="17"/>
  <c r="B39" i="17"/>
  <c r="A39" i="17"/>
  <c r="X39" i="17" s="1"/>
  <c r="S38" i="17"/>
  <c r="Q38" i="17"/>
  <c r="P38" i="17"/>
  <c r="J38" i="17"/>
  <c r="G38" i="17"/>
  <c r="E38" i="17"/>
  <c r="D38" i="17"/>
  <c r="A38" i="17"/>
  <c r="Z38" i="17" s="1"/>
  <c r="A37" i="17"/>
  <c r="V37" i="17" s="1"/>
  <c r="M36" i="17"/>
  <c r="A36" i="17"/>
  <c r="P36" i="17" s="1"/>
  <c r="N35" i="17"/>
  <c r="M35" i="17"/>
  <c r="F35" i="17"/>
  <c r="A35" i="17"/>
  <c r="G35" i="17" s="1"/>
  <c r="AA34" i="17"/>
  <c r="P34" i="17"/>
  <c r="O34" i="17"/>
  <c r="G34" i="17"/>
  <c r="D34" i="17"/>
  <c r="C34" i="17"/>
  <c r="A34" i="17"/>
  <c r="Z34" i="17" s="1"/>
  <c r="S33" i="17"/>
  <c r="R33" i="17"/>
  <c r="G33" i="17"/>
  <c r="A33" i="17"/>
  <c r="L33" i="17" s="1"/>
  <c r="U32" i="17"/>
  <c r="P32" i="17"/>
  <c r="A32" i="17"/>
  <c r="W32" i="17" s="1"/>
  <c r="A31" i="17"/>
  <c r="S31" i="17" s="1"/>
  <c r="AA30" i="17"/>
  <c r="S30" i="17"/>
  <c r="J30" i="17"/>
  <c r="G30" i="17"/>
  <c r="E30" i="17"/>
  <c r="A30" i="17"/>
  <c r="Q30" i="17" s="1"/>
  <c r="A29" i="17"/>
  <c r="T29" i="17" s="1"/>
  <c r="U28" i="17"/>
  <c r="K28" i="17"/>
  <c r="A28" i="17"/>
  <c r="S28" i="17" s="1"/>
  <c r="G27" i="17"/>
  <c r="A27" i="17"/>
  <c r="D27" i="17" s="1"/>
  <c r="M26" i="17"/>
  <c r="D26" i="17"/>
  <c r="A26" i="17"/>
  <c r="S26" i="17" s="1"/>
  <c r="J25" i="17"/>
  <c r="A25" i="17"/>
  <c r="F25" i="17" s="1"/>
  <c r="K24" i="17"/>
  <c r="J24" i="17"/>
  <c r="D24" i="17"/>
  <c r="A24" i="17"/>
  <c r="U24" i="17" s="1"/>
  <c r="N23" i="17"/>
  <c r="M23" i="17"/>
  <c r="D23" i="17"/>
  <c r="A23" i="17"/>
  <c r="J23" i="17" s="1"/>
  <c r="AA22" i="17"/>
  <c r="Y22" i="17"/>
  <c r="E22" i="17"/>
  <c r="D22" i="17"/>
  <c r="A22" i="17"/>
  <c r="P22" i="17" s="1"/>
  <c r="X21" i="17"/>
  <c r="L21" i="17"/>
  <c r="J21" i="17"/>
  <c r="F21" i="17"/>
  <c r="A21" i="17"/>
  <c r="Y21" i="17" s="1"/>
  <c r="A20" i="17"/>
  <c r="U20" i="17" s="1"/>
  <c r="Y19" i="17"/>
  <c r="P19" i="17"/>
  <c r="D19" i="17"/>
  <c r="C19" i="17"/>
  <c r="A19" i="17"/>
  <c r="N19" i="17" s="1"/>
  <c r="Q18" i="17"/>
  <c r="O18" i="17"/>
  <c r="G18" i="17"/>
  <c r="A18" i="17"/>
  <c r="P18" i="17" s="1"/>
  <c r="R17" i="17"/>
  <c r="P17" i="17"/>
  <c r="H17" i="17"/>
  <c r="A17" i="17"/>
  <c r="I17" i="17" s="1"/>
  <c r="S16" i="17"/>
  <c r="M16" i="17"/>
  <c r="A16" i="17"/>
  <c r="O16" i="17" s="1"/>
  <c r="Z15" i="17"/>
  <c r="X15" i="17"/>
  <c r="P15" i="17"/>
  <c r="G15" i="17"/>
  <c r="D15" i="17"/>
  <c r="C15" i="17"/>
  <c r="A15" i="17"/>
  <c r="N15" i="17" s="1"/>
  <c r="V14" i="17"/>
  <c r="Q14" i="17"/>
  <c r="I14" i="17"/>
  <c r="F14" i="17"/>
  <c r="E14" i="17"/>
  <c r="A14" i="17"/>
  <c r="P14" i="17" s="1"/>
  <c r="S13" i="17"/>
  <c r="R13" i="17"/>
  <c r="I13" i="17"/>
  <c r="F13" i="17"/>
  <c r="D13" i="17"/>
  <c r="A13" i="17"/>
  <c r="M13" i="17" s="1"/>
  <c r="A12" i="17"/>
  <c r="P12" i="17" s="1"/>
  <c r="Z11" i="17"/>
  <c r="V11" i="17"/>
  <c r="O11" i="17"/>
  <c r="G11" i="17"/>
  <c r="D11" i="17"/>
  <c r="A11" i="17"/>
  <c r="N11" i="17" s="1"/>
  <c r="Y10" i="17"/>
  <c r="V10" i="17"/>
  <c r="Q10" i="17"/>
  <c r="M10" i="17"/>
  <c r="G10" i="17"/>
  <c r="F10" i="17"/>
  <c r="E10" i="17"/>
  <c r="A10" i="17"/>
  <c r="P10" i="17" s="1"/>
  <c r="Y9" i="17"/>
  <c r="W9" i="17"/>
  <c r="V9" i="17"/>
  <c r="U9" i="17"/>
  <c r="S9" i="17"/>
  <c r="P9" i="17"/>
  <c r="K9" i="17"/>
  <c r="J9" i="17"/>
  <c r="I9" i="17"/>
  <c r="H9" i="17"/>
  <c r="F9" i="17"/>
  <c r="E9" i="17"/>
  <c r="D9" i="17"/>
  <c r="B9" i="17"/>
  <c r="A9" i="17"/>
  <c r="L9" i="17" s="1"/>
  <c r="A8" i="17"/>
  <c r="P8" i="17" s="1"/>
  <c r="A7" i="17"/>
  <c r="S7" i="17" s="1"/>
  <c r="A6" i="17"/>
  <c r="A3" i="17"/>
  <c r="C304" i="16"/>
  <c r="C303" i="16"/>
  <c r="C302" i="16"/>
  <c r="C301" i="16"/>
  <c r="C300" i="16"/>
  <c r="C299" i="16"/>
  <c r="C298" i="16"/>
  <c r="C297" i="16"/>
  <c r="C296" i="16"/>
  <c r="C295" i="16"/>
  <c r="C294" i="16"/>
  <c r="C293" i="16"/>
  <c r="C292" i="16"/>
  <c r="C291" i="16"/>
  <c r="C290" i="16"/>
  <c r="C289" i="16"/>
  <c r="C288" i="16"/>
  <c r="C287" i="16"/>
  <c r="C286" i="16"/>
  <c r="C285" i="16"/>
  <c r="C284" i="16"/>
  <c r="C283" i="16"/>
  <c r="C282" i="16"/>
  <c r="C281" i="16"/>
  <c r="C280" i="16"/>
  <c r="C279" i="16"/>
  <c r="C278" i="16"/>
  <c r="C277" i="16"/>
  <c r="C276" i="16"/>
  <c r="C275" i="16"/>
  <c r="C274" i="16"/>
  <c r="C273" i="16"/>
  <c r="C272" i="16"/>
  <c r="C271" i="16"/>
  <c r="C270" i="16"/>
  <c r="C269" i="16"/>
  <c r="C268" i="16"/>
  <c r="C267" i="16"/>
  <c r="C266" i="16"/>
  <c r="C265" i="16"/>
  <c r="C264" i="16"/>
  <c r="C263" i="16"/>
  <c r="C262" i="16"/>
  <c r="C261" i="16"/>
  <c r="C260" i="16"/>
  <c r="C259" i="16"/>
  <c r="C258" i="16"/>
  <c r="C257" i="16"/>
  <c r="C256" i="16"/>
  <c r="C255" i="16"/>
  <c r="C254" i="16"/>
  <c r="C253" i="16"/>
  <c r="C252" i="16"/>
  <c r="C251" i="16"/>
  <c r="C250" i="16"/>
  <c r="C249" i="16"/>
  <c r="C248" i="16"/>
  <c r="C247" i="16"/>
  <c r="C246" i="16"/>
  <c r="C245" i="16"/>
  <c r="C244" i="16"/>
  <c r="C243" i="16"/>
  <c r="C242" i="16"/>
  <c r="C241" i="16"/>
  <c r="C240" i="16"/>
  <c r="C239" i="16"/>
  <c r="C238" i="16"/>
  <c r="C237" i="16"/>
  <c r="C236" i="16"/>
  <c r="C235" i="16"/>
  <c r="C234" i="16"/>
  <c r="C233" i="16"/>
  <c r="C232" i="16"/>
  <c r="C231" i="16"/>
  <c r="C230" i="16"/>
  <c r="C229" i="16"/>
  <c r="C228" i="16"/>
  <c r="C227" i="16"/>
  <c r="C226" i="16"/>
  <c r="C225" i="16"/>
  <c r="C224" i="16"/>
  <c r="C223" i="16"/>
  <c r="C222" i="16"/>
  <c r="C221" i="16"/>
  <c r="C220" i="16"/>
  <c r="C219" i="16"/>
  <c r="C218" i="16"/>
  <c r="C217" i="16"/>
  <c r="C216" i="16"/>
  <c r="C215" i="16"/>
  <c r="C214" i="16"/>
  <c r="C213" i="16"/>
  <c r="C212" i="16"/>
  <c r="C211" i="16"/>
  <c r="C210" i="16"/>
  <c r="C209" i="16"/>
  <c r="C208" i="16"/>
  <c r="C207" i="16"/>
  <c r="C206" i="16"/>
  <c r="C205" i="16"/>
  <c r="C204" i="16"/>
  <c r="C203" i="16"/>
  <c r="C202" i="16"/>
  <c r="C201" i="16"/>
  <c r="C200" i="16"/>
  <c r="C199" i="16"/>
  <c r="C198" i="16"/>
  <c r="C197" i="16"/>
  <c r="C196" i="16"/>
  <c r="C195" i="16"/>
  <c r="C194" i="16"/>
  <c r="C193" i="16"/>
  <c r="C192" i="16"/>
  <c r="C191" i="16"/>
  <c r="C190" i="16"/>
  <c r="C189" i="16"/>
  <c r="C188" i="16"/>
  <c r="C187" i="16"/>
  <c r="C186" i="16"/>
  <c r="C185" i="16"/>
  <c r="C184" i="16"/>
  <c r="C183" i="16"/>
  <c r="C182" i="16"/>
  <c r="C181" i="16"/>
  <c r="C180" i="16"/>
  <c r="C179" i="16"/>
  <c r="C178" i="16"/>
  <c r="C177" i="16"/>
  <c r="C176" i="16"/>
  <c r="C175" i="16"/>
  <c r="C174" i="16"/>
  <c r="C173" i="16"/>
  <c r="C172" i="16"/>
  <c r="C171" i="16"/>
  <c r="C170" i="16"/>
  <c r="C169" i="16"/>
  <c r="C168" i="16"/>
  <c r="C167" i="16"/>
  <c r="C166" i="16"/>
  <c r="C165" i="16"/>
  <c r="C164" i="16"/>
  <c r="C163" i="16"/>
  <c r="C162" i="16"/>
  <c r="C161" i="16"/>
  <c r="C160" i="16"/>
  <c r="C159" i="16"/>
  <c r="C158" i="16"/>
  <c r="C157" i="16"/>
  <c r="C156" i="16"/>
  <c r="C155" i="16"/>
  <c r="C154" i="16"/>
  <c r="C153" i="16"/>
  <c r="C152" i="16"/>
  <c r="C151" i="16"/>
  <c r="C150" i="16"/>
  <c r="C149" i="16"/>
  <c r="C148" i="16"/>
  <c r="C147" i="16"/>
  <c r="C146" i="16"/>
  <c r="C145" i="16"/>
  <c r="C144" i="16"/>
  <c r="C143" i="16"/>
  <c r="C142" i="16"/>
  <c r="C141" i="16"/>
  <c r="C140" i="16"/>
  <c r="C139" i="16"/>
  <c r="C138" i="16"/>
  <c r="C137" i="16"/>
  <c r="C136" i="16"/>
  <c r="C135" i="16"/>
  <c r="C134" i="16"/>
  <c r="C133" i="16"/>
  <c r="C132" i="16"/>
  <c r="C131" i="16"/>
  <c r="C130" i="16"/>
  <c r="C129" i="16"/>
  <c r="C128" i="16"/>
  <c r="C127" i="16"/>
  <c r="C126" i="16"/>
  <c r="C125" i="16"/>
  <c r="C124" i="16"/>
  <c r="C123" i="16"/>
  <c r="C122" i="16"/>
  <c r="C121" i="16"/>
  <c r="C120" i="16"/>
  <c r="C119" i="16"/>
  <c r="C118" i="16"/>
  <c r="C117" i="16"/>
  <c r="C116" i="16"/>
  <c r="C115" i="16"/>
  <c r="C114" i="16"/>
  <c r="C113" i="16"/>
  <c r="C112" i="16"/>
  <c r="C111" i="16"/>
  <c r="C110" i="16"/>
  <c r="C109" i="16"/>
  <c r="C108" i="16"/>
  <c r="C107" i="16"/>
  <c r="C106" i="16"/>
  <c r="C105" i="16"/>
  <c r="C104" i="16"/>
  <c r="C103" i="16"/>
  <c r="C102" i="16"/>
  <c r="C101" i="16"/>
  <c r="C100" i="16"/>
  <c r="C99" i="16"/>
  <c r="C98" i="16"/>
  <c r="C97" i="16"/>
  <c r="C96" i="16"/>
  <c r="C95" i="16"/>
  <c r="C94" i="16"/>
  <c r="C93" i="16"/>
  <c r="C92" i="16"/>
  <c r="C91" i="16"/>
  <c r="C90" i="16"/>
  <c r="C89" i="16"/>
  <c r="C88" i="16"/>
  <c r="C87" i="16"/>
  <c r="C86" i="16"/>
  <c r="C85" i="16"/>
  <c r="C84" i="16"/>
  <c r="C83" i="16"/>
  <c r="C82" i="16"/>
  <c r="C81" i="16"/>
  <c r="C80" i="16"/>
  <c r="C79" i="16"/>
  <c r="C78" i="16"/>
  <c r="C77" i="16"/>
  <c r="C76" i="16"/>
  <c r="C75" i="16"/>
  <c r="C74" i="16"/>
  <c r="C73" i="16"/>
  <c r="C72" i="16"/>
  <c r="C71" i="16"/>
  <c r="C70" i="16"/>
  <c r="C69" i="16"/>
  <c r="C68" i="16"/>
  <c r="C67" i="16"/>
  <c r="C66" i="16"/>
  <c r="C65" i="16"/>
  <c r="C64" i="16"/>
  <c r="C63" i="16"/>
  <c r="C62" i="16"/>
  <c r="C61" i="16"/>
  <c r="C60" i="16"/>
  <c r="C59" i="16"/>
  <c r="C58" i="16"/>
  <c r="C57" i="16"/>
  <c r="C56" i="16"/>
  <c r="C55" i="16"/>
  <c r="C54" i="16"/>
  <c r="C53" i="16"/>
  <c r="C52" i="16"/>
  <c r="C51" i="16"/>
  <c r="C50" i="16"/>
  <c r="C49" i="16"/>
  <c r="C48" i="16"/>
  <c r="C47" i="16"/>
  <c r="C46" i="16"/>
  <c r="C45" i="16"/>
  <c r="C44" i="16"/>
  <c r="C43" i="16"/>
  <c r="C42" i="16"/>
  <c r="C41" i="16"/>
  <c r="C40" i="16"/>
  <c r="C39" i="16"/>
  <c r="C38" i="16"/>
  <c r="C37" i="16"/>
  <c r="C36" i="16"/>
  <c r="C35" i="16"/>
  <c r="C34" i="16"/>
  <c r="C33" i="16"/>
  <c r="C32" i="16"/>
  <c r="C31" i="16"/>
  <c r="C30" i="16"/>
  <c r="C29" i="16"/>
  <c r="C28" i="16"/>
  <c r="C27" i="16"/>
  <c r="C26" i="16"/>
  <c r="C25" i="16"/>
  <c r="C24" i="16"/>
  <c r="C23" i="16"/>
  <c r="C22" i="16"/>
  <c r="C21" i="16"/>
  <c r="C20" i="16"/>
  <c r="C19" i="16"/>
  <c r="C18" i="16"/>
  <c r="C17" i="16"/>
  <c r="C16" i="16"/>
  <c r="C15" i="16"/>
  <c r="C14" i="16"/>
  <c r="C13" i="16"/>
  <c r="C12" i="16"/>
  <c r="C11" i="16"/>
  <c r="C10" i="16"/>
  <c r="C9" i="16"/>
  <c r="C8" i="16"/>
  <c r="C7" i="16"/>
  <c r="C6" i="16"/>
  <c r="C5" i="16"/>
  <c r="AC45" i="15"/>
  <c r="AJ44" i="15"/>
  <c r="D44" i="15"/>
  <c r="C44" i="15"/>
  <c r="B44" i="15"/>
  <c r="AM44" i="15" s="1"/>
  <c r="A44" i="15"/>
  <c r="AL43" i="15"/>
  <c r="D43" i="15"/>
  <c r="C43" i="15"/>
  <c r="B43" i="15"/>
  <c r="AJ43" i="15" s="1"/>
  <c r="A43" i="15"/>
  <c r="D42" i="15"/>
  <c r="C42" i="15"/>
  <c r="B42" i="15"/>
  <c r="AN42" i="15" s="1"/>
  <c r="A42" i="15"/>
  <c r="AJ41" i="15"/>
  <c r="D41" i="15"/>
  <c r="C41" i="15"/>
  <c r="B41" i="15"/>
  <c r="AN41" i="15" s="1"/>
  <c r="A41" i="15"/>
  <c r="D40" i="15"/>
  <c r="C40" i="15"/>
  <c r="B40" i="15"/>
  <c r="AM40" i="15" s="1"/>
  <c r="A40" i="15"/>
  <c r="D39" i="15"/>
  <c r="C39" i="15"/>
  <c r="B39" i="15"/>
  <c r="AJ39" i="15" s="1"/>
  <c r="A39" i="15"/>
  <c r="AN38" i="15"/>
  <c r="AM38" i="15"/>
  <c r="AK38" i="15"/>
  <c r="AJ38" i="15"/>
  <c r="D38" i="15"/>
  <c r="C38" i="15"/>
  <c r="B38" i="15"/>
  <c r="AL38" i="15" s="1"/>
  <c r="A38" i="15"/>
  <c r="AM37" i="15"/>
  <c r="AK37" i="15"/>
  <c r="AJ37" i="15"/>
  <c r="D37" i="15"/>
  <c r="C37" i="15"/>
  <c r="B37" i="15"/>
  <c r="AN37" i="15" s="1"/>
  <c r="A37" i="15"/>
  <c r="AJ36" i="15"/>
  <c r="D36" i="15"/>
  <c r="C36" i="15"/>
  <c r="B36" i="15"/>
  <c r="AM36" i="15" s="1"/>
  <c r="A36" i="15"/>
  <c r="AL35" i="15"/>
  <c r="D35" i="15"/>
  <c r="C35" i="15"/>
  <c r="B35" i="15"/>
  <c r="AJ35" i="15" s="1"/>
  <c r="A35" i="15"/>
  <c r="AJ34" i="15"/>
  <c r="D34" i="15"/>
  <c r="C34" i="15"/>
  <c r="B34" i="15"/>
  <c r="AN34" i="15" s="1"/>
  <c r="A34" i="15"/>
  <c r="AM33" i="15"/>
  <c r="AK33" i="15"/>
  <c r="AJ33" i="15"/>
  <c r="D33" i="15"/>
  <c r="C33" i="15"/>
  <c r="B33" i="15"/>
  <c r="AN33" i="15" s="1"/>
  <c r="A33" i="15"/>
  <c r="AJ32" i="15"/>
  <c r="D32" i="15"/>
  <c r="C32" i="15"/>
  <c r="B32" i="15"/>
  <c r="AM32" i="15" s="1"/>
  <c r="A32" i="15"/>
  <c r="AL31" i="15"/>
  <c r="D31" i="15"/>
  <c r="C31" i="15"/>
  <c r="B31" i="15"/>
  <c r="AJ31" i="15" s="1"/>
  <c r="A31" i="15"/>
  <c r="AM30" i="15"/>
  <c r="AL30" i="15"/>
  <c r="D30" i="15"/>
  <c r="C30" i="15"/>
  <c r="B30" i="15"/>
  <c r="AJ30" i="15" s="1"/>
  <c r="A30" i="15"/>
  <c r="D29" i="15"/>
  <c r="C29" i="15"/>
  <c r="B29" i="15"/>
  <c r="AN29" i="15" s="1"/>
  <c r="A29" i="15"/>
  <c r="D28" i="15"/>
  <c r="C28" i="15"/>
  <c r="B28" i="15"/>
  <c r="AM28" i="15" s="1"/>
  <c r="A28" i="15"/>
  <c r="AL27" i="15"/>
  <c r="D27" i="15"/>
  <c r="C27" i="15"/>
  <c r="B27" i="15"/>
  <c r="AJ27" i="15" s="1"/>
  <c r="A27" i="15"/>
  <c r="AN26" i="15"/>
  <c r="AK26" i="15"/>
  <c r="AJ26" i="15"/>
  <c r="D26" i="15"/>
  <c r="C26" i="15"/>
  <c r="B26" i="15"/>
  <c r="AL26" i="15" s="1"/>
  <c r="A26" i="15"/>
  <c r="AJ25" i="15"/>
  <c r="D25" i="15"/>
  <c r="C25" i="15"/>
  <c r="B25" i="15"/>
  <c r="AN25" i="15" s="1"/>
  <c r="A25" i="15"/>
  <c r="AJ24" i="15"/>
  <c r="D24" i="15"/>
  <c r="C24" i="15"/>
  <c r="B24" i="15"/>
  <c r="AM24" i="15" s="1"/>
  <c r="A24" i="15"/>
  <c r="D23" i="15"/>
  <c r="C23" i="15"/>
  <c r="B23" i="15"/>
  <c r="AJ23" i="15" s="1"/>
  <c r="A23" i="15"/>
  <c r="AN22" i="15"/>
  <c r="AM22" i="15"/>
  <c r="AL22" i="15"/>
  <c r="AK22" i="15"/>
  <c r="AJ22" i="15"/>
  <c r="D22" i="15"/>
  <c r="C22" i="15"/>
  <c r="B22" i="15"/>
  <c r="A22" i="15"/>
  <c r="AM21" i="15"/>
  <c r="AK21" i="15"/>
  <c r="D21" i="15"/>
  <c r="C21" i="15"/>
  <c r="B21" i="15"/>
  <c r="AN21" i="15" s="1"/>
  <c r="A21" i="15"/>
  <c r="AJ20" i="15"/>
  <c r="D20" i="15"/>
  <c r="C20" i="15"/>
  <c r="B20" i="15"/>
  <c r="AM20" i="15" s="1"/>
  <c r="A20" i="15"/>
  <c r="AL19" i="15"/>
  <c r="D19" i="15"/>
  <c r="C19" i="15"/>
  <c r="B19" i="15"/>
  <c r="AJ19" i="15" s="1"/>
  <c r="A19" i="15"/>
  <c r="D18" i="15"/>
  <c r="C18" i="15"/>
  <c r="B18" i="15"/>
  <c r="AN18" i="15" s="1"/>
  <c r="A18" i="15"/>
  <c r="AJ17" i="15"/>
  <c r="D17" i="15"/>
  <c r="C17" i="15"/>
  <c r="B17" i="15"/>
  <c r="AN17" i="15" s="1"/>
  <c r="A17" i="15"/>
  <c r="D16" i="15"/>
  <c r="C16" i="15"/>
  <c r="B16" i="15"/>
  <c r="AM16" i="15" s="1"/>
  <c r="A16" i="15"/>
  <c r="D15" i="15"/>
  <c r="C15" i="15"/>
  <c r="B15" i="15"/>
  <c r="AJ15" i="15" s="1"/>
  <c r="A15" i="15"/>
  <c r="AN14" i="15"/>
  <c r="AM14" i="15"/>
  <c r="AL14" i="15"/>
  <c r="AK14" i="15"/>
  <c r="AJ14" i="15"/>
  <c r="D14" i="15"/>
  <c r="C14" i="15"/>
  <c r="B14" i="15"/>
  <c r="A14" i="15"/>
  <c r="AM13" i="15"/>
  <c r="AK13" i="15"/>
  <c r="AJ13" i="15"/>
  <c r="D13" i="15"/>
  <c r="C13" i="15"/>
  <c r="B13" i="15"/>
  <c r="AN13" i="15" s="1"/>
  <c r="A13" i="15"/>
  <c r="AJ12" i="15"/>
  <c r="D12" i="15"/>
  <c r="C12" i="15"/>
  <c r="B12" i="15"/>
  <c r="AM12" i="15" s="1"/>
  <c r="A12" i="15"/>
  <c r="AL11" i="15"/>
  <c r="D11" i="15"/>
  <c r="C11" i="15"/>
  <c r="B11" i="15"/>
  <c r="AJ11" i="15" s="1"/>
  <c r="A11" i="15"/>
  <c r="AJ10" i="15"/>
  <c r="D10" i="15"/>
  <c r="C10" i="15"/>
  <c r="B10" i="15"/>
  <c r="AN10" i="15" s="1"/>
  <c r="A10" i="15"/>
  <c r="AM9" i="15"/>
  <c r="AK9" i="15"/>
  <c r="AJ9" i="15"/>
  <c r="D9" i="15"/>
  <c r="C9" i="15"/>
  <c r="B9" i="15"/>
  <c r="AN9" i="15" s="1"/>
  <c r="A9" i="15"/>
  <c r="AJ8" i="15"/>
  <c r="D8" i="15"/>
  <c r="C8" i="15"/>
  <c r="B8" i="15"/>
  <c r="AM8" i="15" s="1"/>
  <c r="A8" i="15"/>
  <c r="AL7" i="15"/>
  <c r="D7" i="15"/>
  <c r="C7" i="15"/>
  <c r="B7" i="15"/>
  <c r="AJ7" i="15" s="1"/>
  <c r="A7" i="15"/>
  <c r="AM6" i="15"/>
  <c r="AL6" i="15"/>
  <c r="D6" i="15"/>
  <c r="C6" i="15"/>
  <c r="B6" i="15"/>
  <c r="AJ6" i="15" s="1"/>
  <c r="A6" i="15"/>
  <c r="D5" i="15"/>
  <c r="C5" i="15"/>
  <c r="B5" i="15"/>
  <c r="A5" i="15"/>
  <c r="AI3" i="15"/>
  <c r="AI45" i="15" s="1"/>
  <c r="AH3" i="15"/>
  <c r="AH45" i="15" s="1"/>
  <c r="AG3" i="15"/>
  <c r="AG45" i="15" s="1"/>
  <c r="AF3" i="15"/>
  <c r="AF45" i="15" s="1"/>
  <c r="AE3" i="15"/>
  <c r="AE45" i="15" s="1"/>
  <c r="AD3" i="15"/>
  <c r="AD45" i="15" s="1"/>
  <c r="AC3" i="15"/>
  <c r="AB3" i="15"/>
  <c r="AB45" i="15" s="1"/>
  <c r="AA3" i="15"/>
  <c r="AA45" i="15" s="1"/>
  <c r="Z3" i="15"/>
  <c r="Z45" i="15" s="1"/>
  <c r="Y3" i="15"/>
  <c r="Y45" i="15" s="1"/>
  <c r="X3" i="15"/>
  <c r="X45" i="15" s="1"/>
  <c r="W3" i="15"/>
  <c r="W45" i="15" s="1"/>
  <c r="V3" i="15"/>
  <c r="V45" i="15" s="1"/>
  <c r="U3" i="15"/>
  <c r="U45" i="15" s="1"/>
  <c r="T3" i="15"/>
  <c r="T45" i="15" s="1"/>
  <c r="S3" i="15"/>
  <c r="S45" i="15" s="1"/>
  <c r="R3" i="15"/>
  <c r="R45" i="15" s="1"/>
  <c r="Q3" i="15"/>
  <c r="Q45" i="15" s="1"/>
  <c r="P3" i="15"/>
  <c r="P45" i="15" s="1"/>
  <c r="O3" i="15"/>
  <c r="O45" i="15" s="1"/>
  <c r="N3" i="15"/>
  <c r="N45" i="15" s="1"/>
  <c r="M3" i="15"/>
  <c r="M45" i="15" s="1"/>
  <c r="L3" i="15"/>
  <c r="L45" i="15" s="1"/>
  <c r="K3" i="15"/>
  <c r="K45" i="15" s="1"/>
  <c r="J3" i="15"/>
  <c r="J45" i="15" s="1"/>
  <c r="I3" i="15"/>
  <c r="I45" i="15" s="1"/>
  <c r="H3" i="15"/>
  <c r="H45" i="15" s="1"/>
  <c r="G3" i="15"/>
  <c r="G45" i="15" s="1"/>
  <c r="F3" i="15"/>
  <c r="F45" i="15" s="1"/>
  <c r="E3" i="15"/>
  <c r="E45" i="15" s="1"/>
  <c r="A1" i="15"/>
  <c r="AJ44" i="14"/>
  <c r="D44" i="14"/>
  <c r="C44" i="14"/>
  <c r="B44" i="14"/>
  <c r="AM44" i="14" s="1"/>
  <c r="A44" i="14"/>
  <c r="D43" i="14"/>
  <c r="C43" i="14"/>
  <c r="B43" i="14"/>
  <c r="AN43" i="14" s="1"/>
  <c r="A43" i="14"/>
  <c r="AJ42" i="14"/>
  <c r="D42" i="14"/>
  <c r="C42" i="14"/>
  <c r="B42" i="14"/>
  <c r="AN42" i="14" s="1"/>
  <c r="A42" i="14"/>
  <c r="D41" i="14"/>
  <c r="C41" i="14"/>
  <c r="B41" i="14"/>
  <c r="AK41" i="14" s="1"/>
  <c r="A41" i="14"/>
  <c r="AN40" i="14"/>
  <c r="AL40" i="14"/>
  <c r="AK40" i="14"/>
  <c r="AJ40" i="14"/>
  <c r="D40" i="14"/>
  <c r="C40" i="14"/>
  <c r="B40" i="14"/>
  <c r="AM40" i="14" s="1"/>
  <c r="A40" i="14"/>
  <c r="D39" i="14"/>
  <c r="C39" i="14"/>
  <c r="B39" i="14"/>
  <c r="AN39" i="14" s="1"/>
  <c r="A39" i="14"/>
  <c r="AM38" i="14"/>
  <c r="AJ38" i="14"/>
  <c r="D38" i="14"/>
  <c r="C38" i="14"/>
  <c r="B38" i="14"/>
  <c r="AN38" i="14" s="1"/>
  <c r="A38" i="14"/>
  <c r="D37" i="14"/>
  <c r="C37" i="14"/>
  <c r="B37" i="14"/>
  <c r="AK37" i="14" s="1"/>
  <c r="A37" i="14"/>
  <c r="AN36" i="14"/>
  <c r="AL36" i="14"/>
  <c r="AK36" i="14"/>
  <c r="D36" i="14"/>
  <c r="C36" i="14"/>
  <c r="B36" i="14"/>
  <c r="AM36" i="14" s="1"/>
  <c r="A36" i="14"/>
  <c r="AK35" i="14"/>
  <c r="D35" i="14"/>
  <c r="C35" i="14"/>
  <c r="B35" i="14"/>
  <c r="AN35" i="14" s="1"/>
  <c r="A35" i="14"/>
  <c r="D34" i="14"/>
  <c r="C34" i="14"/>
  <c r="B34" i="14"/>
  <c r="AN34" i="14" s="1"/>
  <c r="A34" i="14"/>
  <c r="AL33" i="14"/>
  <c r="D33" i="14"/>
  <c r="C33" i="14"/>
  <c r="B33" i="14"/>
  <c r="AK33" i="14" s="1"/>
  <c r="A33" i="14"/>
  <c r="D32" i="14"/>
  <c r="C32" i="14"/>
  <c r="B32" i="14"/>
  <c r="AM32" i="14" s="1"/>
  <c r="A32" i="14"/>
  <c r="AM31" i="14"/>
  <c r="AK31" i="14"/>
  <c r="D31" i="14"/>
  <c r="C31" i="14"/>
  <c r="B31" i="14"/>
  <c r="AN31" i="14" s="1"/>
  <c r="A31" i="14"/>
  <c r="AK30" i="14"/>
  <c r="D30" i="14"/>
  <c r="C30" i="14"/>
  <c r="B30" i="14"/>
  <c r="AN30" i="14" s="1"/>
  <c r="A30" i="14"/>
  <c r="D29" i="14"/>
  <c r="C29" i="14"/>
  <c r="B29" i="14"/>
  <c r="AK29" i="14" s="1"/>
  <c r="A29" i="14"/>
  <c r="AJ28" i="14"/>
  <c r="D28" i="14"/>
  <c r="C28" i="14"/>
  <c r="B28" i="14"/>
  <c r="AM28" i="14" s="1"/>
  <c r="A28" i="14"/>
  <c r="D27" i="14"/>
  <c r="C27" i="14"/>
  <c r="B27" i="14"/>
  <c r="AN27" i="14" s="1"/>
  <c r="A27" i="14"/>
  <c r="AM26" i="14"/>
  <c r="AL26" i="14"/>
  <c r="AK26" i="14"/>
  <c r="AJ26" i="14"/>
  <c r="D26" i="14"/>
  <c r="C26" i="14"/>
  <c r="B26" i="14"/>
  <c r="AN26" i="14" s="1"/>
  <c r="A26" i="14"/>
  <c r="AN25" i="14"/>
  <c r="AL25" i="14"/>
  <c r="D25" i="14"/>
  <c r="C25" i="14"/>
  <c r="B25" i="14"/>
  <c r="AK25" i="14" s="1"/>
  <c r="A25" i="14"/>
  <c r="D24" i="14"/>
  <c r="C24" i="14"/>
  <c r="B24" i="14"/>
  <c r="AM24" i="14" s="1"/>
  <c r="A24" i="14"/>
  <c r="AM23" i="14"/>
  <c r="D23" i="14"/>
  <c r="C23" i="14"/>
  <c r="B23" i="14"/>
  <c r="AN23" i="14" s="1"/>
  <c r="A23" i="14"/>
  <c r="AM22" i="14"/>
  <c r="D22" i="14"/>
  <c r="C22" i="14"/>
  <c r="B22" i="14"/>
  <c r="AN22" i="14" s="1"/>
  <c r="A22" i="14"/>
  <c r="AL21" i="14"/>
  <c r="D21" i="14"/>
  <c r="C21" i="14"/>
  <c r="B21" i="14"/>
  <c r="AK21" i="14" s="1"/>
  <c r="A21" i="14"/>
  <c r="AN20" i="14"/>
  <c r="AK20" i="14"/>
  <c r="AJ20" i="14"/>
  <c r="D20" i="14"/>
  <c r="C20" i="14"/>
  <c r="B20" i="14"/>
  <c r="AM20" i="14" s="1"/>
  <c r="A20" i="14"/>
  <c r="AM19" i="14"/>
  <c r="AK19" i="14"/>
  <c r="D19" i="14"/>
  <c r="C19" i="14"/>
  <c r="B19" i="14"/>
  <c r="AN19" i="14" s="1"/>
  <c r="A19" i="14"/>
  <c r="AL18" i="14"/>
  <c r="AJ18" i="14"/>
  <c r="D18" i="14"/>
  <c r="C18" i="14"/>
  <c r="B18" i="14"/>
  <c r="AN18" i="14" s="1"/>
  <c r="A18" i="14"/>
  <c r="D17" i="14"/>
  <c r="C17" i="14"/>
  <c r="B17" i="14"/>
  <c r="A17" i="14"/>
  <c r="AK16" i="14"/>
  <c r="AJ16" i="14"/>
  <c r="D16" i="14"/>
  <c r="C16" i="14"/>
  <c r="B16" i="14"/>
  <c r="AM16" i="14" s="1"/>
  <c r="A16" i="14"/>
  <c r="AM15" i="14"/>
  <c r="AK15" i="14"/>
  <c r="D15" i="14"/>
  <c r="C15" i="14"/>
  <c r="B15" i="14"/>
  <c r="AN15" i="14" s="1"/>
  <c r="A15" i="14"/>
  <c r="AM14" i="14"/>
  <c r="D14" i="14"/>
  <c r="C14" i="14"/>
  <c r="B14" i="14"/>
  <c r="AN14" i="14" s="1"/>
  <c r="A14" i="14"/>
  <c r="D13" i="14"/>
  <c r="C13" i="14"/>
  <c r="B13" i="14"/>
  <c r="A13" i="14"/>
  <c r="AL12" i="14"/>
  <c r="D12" i="14"/>
  <c r="C12" i="14"/>
  <c r="B12" i="14"/>
  <c r="AM12" i="14" s="1"/>
  <c r="A12" i="14"/>
  <c r="D11" i="14"/>
  <c r="C11" i="14"/>
  <c r="B11" i="14"/>
  <c r="AN11" i="14" s="1"/>
  <c r="A11" i="14"/>
  <c r="AM10" i="14"/>
  <c r="AJ10" i="14"/>
  <c r="D10" i="14"/>
  <c r="C10" i="14"/>
  <c r="B10" i="14"/>
  <c r="AN10" i="14" s="1"/>
  <c r="A10" i="14"/>
  <c r="D9" i="14"/>
  <c r="C9" i="14"/>
  <c r="B9" i="14"/>
  <c r="AN9" i="14" s="1"/>
  <c r="A9" i="14"/>
  <c r="AL8" i="14"/>
  <c r="AK8" i="14"/>
  <c r="AJ8" i="14"/>
  <c r="D8" i="14"/>
  <c r="C8" i="14"/>
  <c r="B8" i="14"/>
  <c r="AM8" i="14" s="1"/>
  <c r="A8" i="14"/>
  <c r="AL7" i="14"/>
  <c r="AK7" i="14"/>
  <c r="D7" i="14"/>
  <c r="C7" i="14"/>
  <c r="B7" i="14"/>
  <c r="AN7" i="14" s="1"/>
  <c r="A7" i="14"/>
  <c r="AM6" i="14"/>
  <c r="AL6" i="14"/>
  <c r="AJ6" i="14"/>
  <c r="D6" i="14"/>
  <c r="C6" i="14"/>
  <c r="B6" i="14"/>
  <c r="AN6" i="14" s="1"/>
  <c r="A6" i="14"/>
  <c r="D5" i="14"/>
  <c r="C5" i="14"/>
  <c r="B5" i="14"/>
  <c r="A5" i="14"/>
  <c r="AI3" i="14"/>
  <c r="AI45" i="14" s="1"/>
  <c r="AH3" i="14"/>
  <c r="AH45" i="14" s="1"/>
  <c r="AG3" i="14"/>
  <c r="AG45" i="14" s="1"/>
  <c r="AF3" i="14"/>
  <c r="AF45" i="14" s="1"/>
  <c r="AE3" i="14"/>
  <c r="AE45" i="14" s="1"/>
  <c r="AD3" i="14"/>
  <c r="AD45" i="14" s="1"/>
  <c r="AC3" i="14"/>
  <c r="AC45" i="14" s="1"/>
  <c r="AB3" i="14"/>
  <c r="AB45" i="14" s="1"/>
  <c r="AA3" i="14"/>
  <c r="AA45" i="14" s="1"/>
  <c r="Z3" i="14"/>
  <c r="Z45" i="14" s="1"/>
  <c r="Y3" i="14"/>
  <c r="Y45" i="14" s="1"/>
  <c r="X3" i="14"/>
  <c r="X45" i="14" s="1"/>
  <c r="W3" i="14"/>
  <c r="W45" i="14" s="1"/>
  <c r="V3" i="14"/>
  <c r="V45" i="14" s="1"/>
  <c r="U3" i="14"/>
  <c r="U45" i="14" s="1"/>
  <c r="T3" i="14"/>
  <c r="T45" i="14" s="1"/>
  <c r="S3" i="14"/>
  <c r="S45" i="14" s="1"/>
  <c r="R3" i="14"/>
  <c r="R45" i="14" s="1"/>
  <c r="Q3" i="14"/>
  <c r="Q45" i="14" s="1"/>
  <c r="P3" i="14"/>
  <c r="P45" i="14" s="1"/>
  <c r="O3" i="14"/>
  <c r="O45" i="14" s="1"/>
  <c r="N3" i="14"/>
  <c r="N45" i="14" s="1"/>
  <c r="M3" i="14"/>
  <c r="M45" i="14" s="1"/>
  <c r="L3" i="14"/>
  <c r="L45" i="14" s="1"/>
  <c r="K3" i="14"/>
  <c r="K45" i="14" s="1"/>
  <c r="J3" i="14"/>
  <c r="J45" i="14" s="1"/>
  <c r="I3" i="14"/>
  <c r="I45" i="14" s="1"/>
  <c r="H3" i="14"/>
  <c r="H45" i="14" s="1"/>
  <c r="G3" i="14"/>
  <c r="G45" i="14" s="1"/>
  <c r="F3" i="14"/>
  <c r="F45" i="14" s="1"/>
  <c r="E3" i="14"/>
  <c r="E45" i="14" s="1"/>
  <c r="A1" i="14"/>
  <c r="AL44" i="13"/>
  <c r="AK44" i="13"/>
  <c r="D44" i="13"/>
  <c r="C44" i="13"/>
  <c r="B44" i="13"/>
  <c r="AM44" i="13" s="1"/>
  <c r="A44" i="13"/>
  <c r="AL43" i="13"/>
  <c r="AK43" i="13"/>
  <c r="D43" i="13"/>
  <c r="C43" i="13"/>
  <c r="B43" i="13"/>
  <c r="AJ43" i="13" s="1"/>
  <c r="A43" i="13"/>
  <c r="D42" i="13"/>
  <c r="C42" i="13"/>
  <c r="B42" i="13"/>
  <c r="A42" i="13"/>
  <c r="AJ41" i="13"/>
  <c r="D41" i="13"/>
  <c r="C41" i="13"/>
  <c r="B41" i="13"/>
  <c r="AK41" i="13" s="1"/>
  <c r="A41" i="13"/>
  <c r="AL40" i="13"/>
  <c r="D40" i="13"/>
  <c r="C40" i="13"/>
  <c r="B40" i="13"/>
  <c r="AN40" i="13" s="1"/>
  <c r="A40" i="13"/>
  <c r="AK39" i="13"/>
  <c r="AJ39" i="13"/>
  <c r="D39" i="13"/>
  <c r="C39" i="13"/>
  <c r="B39" i="13"/>
  <c r="AN39" i="13" s="1"/>
  <c r="A39" i="13"/>
  <c r="D38" i="13"/>
  <c r="C38" i="13"/>
  <c r="B38" i="13"/>
  <c r="AN38" i="13" s="1"/>
  <c r="A38" i="13"/>
  <c r="AN37" i="13"/>
  <c r="AL37" i="13"/>
  <c r="AJ37" i="13"/>
  <c r="D37" i="13"/>
  <c r="C37" i="13"/>
  <c r="B37" i="13"/>
  <c r="AK37" i="13" s="1"/>
  <c r="A37" i="13"/>
  <c r="AJ36" i="13"/>
  <c r="D36" i="13"/>
  <c r="C36" i="13"/>
  <c r="B36" i="13"/>
  <c r="AN36" i="13" s="1"/>
  <c r="A36" i="13"/>
  <c r="D35" i="13"/>
  <c r="C35" i="13"/>
  <c r="B35" i="13"/>
  <c r="AN35" i="13" s="1"/>
  <c r="A35" i="13"/>
  <c r="D34" i="13"/>
  <c r="C34" i="13"/>
  <c r="B34" i="13"/>
  <c r="AN34" i="13" s="1"/>
  <c r="A34" i="13"/>
  <c r="AN33" i="13"/>
  <c r="D33" i="13"/>
  <c r="C33" i="13"/>
  <c r="B33" i="13"/>
  <c r="AK33" i="13" s="1"/>
  <c r="A33" i="13"/>
  <c r="AN32" i="13"/>
  <c r="AM32" i="13"/>
  <c r="AK32" i="13"/>
  <c r="AJ32" i="13"/>
  <c r="D32" i="13"/>
  <c r="C32" i="13"/>
  <c r="B32" i="13"/>
  <c r="AL32" i="13" s="1"/>
  <c r="A32" i="13"/>
  <c r="D31" i="13"/>
  <c r="C31" i="13"/>
  <c r="B31" i="13"/>
  <c r="AN31" i="13" s="1"/>
  <c r="A31" i="13"/>
  <c r="D30" i="13"/>
  <c r="C30" i="13"/>
  <c r="B30" i="13"/>
  <c r="AN30" i="13" s="1"/>
  <c r="A30" i="13"/>
  <c r="AM29" i="13"/>
  <c r="D29" i="13"/>
  <c r="C29" i="13"/>
  <c r="B29" i="13"/>
  <c r="AK29" i="13" s="1"/>
  <c r="A29" i="13"/>
  <c r="AM28" i="13"/>
  <c r="D28" i="13"/>
  <c r="C28" i="13"/>
  <c r="B28" i="13"/>
  <c r="AN28" i="13" s="1"/>
  <c r="A28" i="13"/>
  <c r="AJ27" i="13"/>
  <c r="D27" i="13"/>
  <c r="C27" i="13"/>
  <c r="B27" i="13"/>
  <c r="AN27" i="13" s="1"/>
  <c r="A27" i="13"/>
  <c r="D26" i="13"/>
  <c r="C26" i="13"/>
  <c r="B26" i="13"/>
  <c r="AN26" i="13" s="1"/>
  <c r="A26" i="13"/>
  <c r="AJ25" i="13"/>
  <c r="D25" i="13"/>
  <c r="C25" i="13"/>
  <c r="B25" i="13"/>
  <c r="AK25" i="13" s="1"/>
  <c r="A25" i="13"/>
  <c r="AL24" i="13"/>
  <c r="D24" i="13"/>
  <c r="C24" i="13"/>
  <c r="B24" i="13"/>
  <c r="AN24" i="13" s="1"/>
  <c r="A24" i="13"/>
  <c r="AK23" i="13"/>
  <c r="AJ23" i="13"/>
  <c r="D23" i="13"/>
  <c r="C23" i="13"/>
  <c r="B23" i="13"/>
  <c r="AN23" i="13" s="1"/>
  <c r="A23" i="13"/>
  <c r="D22" i="13"/>
  <c r="C22" i="13"/>
  <c r="B22" i="13"/>
  <c r="AN22" i="13" s="1"/>
  <c r="A22" i="13"/>
  <c r="AN21" i="13"/>
  <c r="AL21" i="13"/>
  <c r="AJ21" i="13"/>
  <c r="D21" i="13"/>
  <c r="C21" i="13"/>
  <c r="B21" i="13"/>
  <c r="AK21" i="13" s="1"/>
  <c r="A21" i="13"/>
  <c r="AJ20" i="13"/>
  <c r="D20" i="13"/>
  <c r="C20" i="13"/>
  <c r="B20" i="13"/>
  <c r="AN20" i="13" s="1"/>
  <c r="A20" i="13"/>
  <c r="D19" i="13"/>
  <c r="C19" i="13"/>
  <c r="B19" i="13"/>
  <c r="AN19" i="13" s="1"/>
  <c r="A19" i="13"/>
  <c r="D18" i="13"/>
  <c r="C18" i="13"/>
  <c r="B18" i="13"/>
  <c r="AN18" i="13" s="1"/>
  <c r="A18" i="13"/>
  <c r="AN17" i="13"/>
  <c r="D17" i="13"/>
  <c r="C17" i="13"/>
  <c r="B17" i="13"/>
  <c r="AK17" i="13" s="1"/>
  <c r="A17" i="13"/>
  <c r="AM16" i="13"/>
  <c r="AK16" i="13"/>
  <c r="AJ16" i="13"/>
  <c r="D16" i="13"/>
  <c r="C16" i="13"/>
  <c r="B16" i="13"/>
  <c r="AN16" i="13" s="1"/>
  <c r="A16" i="13"/>
  <c r="AL15" i="13"/>
  <c r="AK15" i="13"/>
  <c r="D15" i="13"/>
  <c r="C15" i="13"/>
  <c r="B15" i="13"/>
  <c r="AN15" i="13" s="1"/>
  <c r="A15" i="13"/>
  <c r="D14" i="13"/>
  <c r="C14" i="13"/>
  <c r="B14" i="13"/>
  <c r="AN14" i="13" s="1"/>
  <c r="A14" i="13"/>
  <c r="AN13" i="13"/>
  <c r="AM13" i="13"/>
  <c r="AL13" i="13"/>
  <c r="D13" i="13"/>
  <c r="C13" i="13"/>
  <c r="B13" i="13"/>
  <c r="AK13" i="13" s="1"/>
  <c r="A13" i="13"/>
  <c r="AN12" i="13"/>
  <c r="AM12" i="13"/>
  <c r="AL12" i="13"/>
  <c r="AK12" i="13"/>
  <c r="AJ12" i="13"/>
  <c r="D12" i="13"/>
  <c r="C12" i="13"/>
  <c r="B12" i="13"/>
  <c r="A12" i="13"/>
  <c r="AL11" i="13"/>
  <c r="AK11" i="13"/>
  <c r="AJ11" i="13"/>
  <c r="D11" i="13"/>
  <c r="C11" i="13"/>
  <c r="B11" i="13"/>
  <c r="AN11" i="13" s="1"/>
  <c r="A11" i="13"/>
  <c r="D10" i="13"/>
  <c r="C10" i="13"/>
  <c r="B10" i="13"/>
  <c r="AN10" i="13" s="1"/>
  <c r="A10" i="13"/>
  <c r="AN9" i="13"/>
  <c r="AM9" i="13"/>
  <c r="AL9" i="13"/>
  <c r="AJ9" i="13"/>
  <c r="D9" i="13"/>
  <c r="C9" i="13"/>
  <c r="B9" i="13"/>
  <c r="AK9" i="13" s="1"/>
  <c r="A9" i="13"/>
  <c r="AN8" i="13"/>
  <c r="AM8" i="13"/>
  <c r="AL8" i="13"/>
  <c r="D8" i="13"/>
  <c r="C8" i="13"/>
  <c r="B8" i="13"/>
  <c r="AK8" i="13" s="1"/>
  <c r="A8" i="13"/>
  <c r="D7" i="13"/>
  <c r="C7" i="13"/>
  <c r="B7" i="13"/>
  <c r="AN7" i="13" s="1"/>
  <c r="A7" i="13"/>
  <c r="D6" i="13"/>
  <c r="C6" i="13"/>
  <c r="B6" i="13"/>
  <c r="AN6" i="13" s="1"/>
  <c r="A6" i="13"/>
  <c r="D5" i="13"/>
  <c r="C5" i="13"/>
  <c r="B5" i="13"/>
  <c r="AM5" i="13" s="1"/>
  <c r="A5" i="13"/>
  <c r="AI3" i="13"/>
  <c r="AI45" i="13" s="1"/>
  <c r="AH3" i="13"/>
  <c r="AH45" i="13" s="1"/>
  <c r="AG3" i="13"/>
  <c r="AG45" i="13" s="1"/>
  <c r="AF3" i="13"/>
  <c r="AF45" i="13" s="1"/>
  <c r="AE3" i="13"/>
  <c r="AE45" i="13" s="1"/>
  <c r="AD3" i="13"/>
  <c r="AD45" i="13" s="1"/>
  <c r="AC3" i="13"/>
  <c r="AC45" i="13" s="1"/>
  <c r="AB3" i="13"/>
  <c r="AB45" i="13" s="1"/>
  <c r="AA3" i="13"/>
  <c r="AA45" i="13" s="1"/>
  <c r="Z3" i="13"/>
  <c r="Z45" i="13" s="1"/>
  <c r="Y3" i="13"/>
  <c r="Y45" i="13" s="1"/>
  <c r="X3" i="13"/>
  <c r="X45" i="13" s="1"/>
  <c r="W3" i="13"/>
  <c r="W45" i="13" s="1"/>
  <c r="V3" i="13"/>
  <c r="V45" i="13" s="1"/>
  <c r="U3" i="13"/>
  <c r="U45" i="13" s="1"/>
  <c r="T3" i="13"/>
  <c r="T45" i="13" s="1"/>
  <c r="S3" i="13"/>
  <c r="S45" i="13" s="1"/>
  <c r="R3" i="13"/>
  <c r="R45" i="13" s="1"/>
  <c r="Q3" i="13"/>
  <c r="Q45" i="13" s="1"/>
  <c r="P3" i="13"/>
  <c r="P45" i="13" s="1"/>
  <c r="O3" i="13"/>
  <c r="O45" i="13" s="1"/>
  <c r="N3" i="13"/>
  <c r="N45" i="13" s="1"/>
  <c r="M3" i="13"/>
  <c r="M45" i="13" s="1"/>
  <c r="L3" i="13"/>
  <c r="L45" i="13" s="1"/>
  <c r="K3" i="13"/>
  <c r="K45" i="13" s="1"/>
  <c r="J3" i="13"/>
  <c r="J45" i="13" s="1"/>
  <c r="I3" i="13"/>
  <c r="I45" i="13" s="1"/>
  <c r="H3" i="13"/>
  <c r="H45" i="13" s="1"/>
  <c r="G3" i="13"/>
  <c r="G45" i="13" s="1"/>
  <c r="F3" i="13"/>
  <c r="F45" i="13" s="1"/>
  <c r="E3" i="13"/>
  <c r="E45" i="13" s="1"/>
  <c r="A1" i="13"/>
  <c r="AI45" i="12"/>
  <c r="J45" i="12"/>
  <c r="AJ44" i="12"/>
  <c r="D44" i="12"/>
  <c r="C44" i="12"/>
  <c r="B44" i="12"/>
  <c r="AN44" i="12" s="1"/>
  <c r="A44" i="12"/>
  <c r="D43" i="12"/>
  <c r="C43" i="12"/>
  <c r="B43" i="12"/>
  <c r="AN43" i="12" s="1"/>
  <c r="A43" i="12"/>
  <c r="AL42" i="12"/>
  <c r="AK42" i="12"/>
  <c r="D42" i="12"/>
  <c r="C42" i="12"/>
  <c r="B42" i="12"/>
  <c r="AJ42" i="12" s="1"/>
  <c r="A42" i="12"/>
  <c r="AL41" i="12"/>
  <c r="D41" i="12"/>
  <c r="C41" i="12"/>
  <c r="B41" i="12"/>
  <c r="AM41" i="12" s="1"/>
  <c r="A41" i="12"/>
  <c r="D40" i="12"/>
  <c r="C40" i="12"/>
  <c r="B40" i="12"/>
  <c r="AN40" i="12" s="1"/>
  <c r="A40" i="12"/>
  <c r="D39" i="12"/>
  <c r="C39" i="12"/>
  <c r="B39" i="12"/>
  <c r="AN39" i="12" s="1"/>
  <c r="A39" i="12"/>
  <c r="AN38" i="12"/>
  <c r="AM38" i="12"/>
  <c r="AL38" i="12"/>
  <c r="D38" i="12"/>
  <c r="C38" i="12"/>
  <c r="B38" i="12"/>
  <c r="AJ38" i="12" s="1"/>
  <c r="A38" i="12"/>
  <c r="AN37" i="12"/>
  <c r="AM37" i="12"/>
  <c r="AL37" i="12"/>
  <c r="AK37" i="12"/>
  <c r="AJ37" i="12"/>
  <c r="D37" i="12"/>
  <c r="C37" i="12"/>
  <c r="B37" i="12"/>
  <c r="A37" i="12"/>
  <c r="AJ36" i="12"/>
  <c r="D36" i="12"/>
  <c r="C36" i="12"/>
  <c r="B36" i="12"/>
  <c r="AN36" i="12" s="1"/>
  <c r="A36" i="12"/>
  <c r="D35" i="12"/>
  <c r="C35" i="12"/>
  <c r="B35" i="12"/>
  <c r="AN35" i="12" s="1"/>
  <c r="A35" i="12"/>
  <c r="AK34" i="12"/>
  <c r="D34" i="12"/>
  <c r="C34" i="12"/>
  <c r="B34" i="12"/>
  <c r="AJ34" i="12" s="1"/>
  <c r="A34" i="12"/>
  <c r="AL33" i="12"/>
  <c r="D33" i="12"/>
  <c r="C33" i="12"/>
  <c r="B33" i="12"/>
  <c r="AN33" i="12" s="1"/>
  <c r="A33" i="12"/>
  <c r="D32" i="12"/>
  <c r="C32" i="12"/>
  <c r="B32" i="12"/>
  <c r="AN32" i="12" s="1"/>
  <c r="A32" i="12"/>
  <c r="D31" i="12"/>
  <c r="C31" i="12"/>
  <c r="B31" i="12"/>
  <c r="AN31" i="12" s="1"/>
  <c r="A31" i="12"/>
  <c r="AN30" i="12"/>
  <c r="AM30" i="12"/>
  <c r="D30" i="12"/>
  <c r="C30" i="12"/>
  <c r="B30" i="12"/>
  <c r="AJ30" i="12" s="1"/>
  <c r="A30" i="12"/>
  <c r="AN29" i="12"/>
  <c r="AM29" i="12"/>
  <c r="AJ29" i="12"/>
  <c r="D29" i="12"/>
  <c r="C29" i="12"/>
  <c r="B29" i="12"/>
  <c r="AL29" i="12" s="1"/>
  <c r="A29" i="12"/>
  <c r="D28" i="12"/>
  <c r="C28" i="12"/>
  <c r="B28" i="12"/>
  <c r="A28" i="12"/>
  <c r="D27" i="12"/>
  <c r="C27" i="12"/>
  <c r="B27" i="12"/>
  <c r="AN27" i="12" s="1"/>
  <c r="A27" i="12"/>
  <c r="D26" i="12"/>
  <c r="C26" i="12"/>
  <c r="B26" i="12"/>
  <c r="A26" i="12"/>
  <c r="AN25" i="12"/>
  <c r="AL25" i="12"/>
  <c r="AK25" i="12"/>
  <c r="AJ25" i="12"/>
  <c r="D25" i="12"/>
  <c r="C25" i="12"/>
  <c r="B25" i="12"/>
  <c r="AM25" i="12" s="1"/>
  <c r="A25" i="12"/>
  <c r="D24" i="12"/>
  <c r="C24" i="12"/>
  <c r="B24" i="12"/>
  <c r="AN24" i="12" s="1"/>
  <c r="A24" i="12"/>
  <c r="D23" i="12"/>
  <c r="C23" i="12"/>
  <c r="B23" i="12"/>
  <c r="AN23" i="12" s="1"/>
  <c r="A23" i="12"/>
  <c r="AN22" i="12"/>
  <c r="AL22" i="12"/>
  <c r="D22" i="12"/>
  <c r="C22" i="12"/>
  <c r="B22" i="12"/>
  <c r="AJ22" i="12" s="1"/>
  <c r="A22" i="12"/>
  <c r="AN21" i="12"/>
  <c r="AM21" i="12"/>
  <c r="AL21" i="12"/>
  <c r="AK21" i="12"/>
  <c r="AJ21" i="12"/>
  <c r="D21" i="12"/>
  <c r="C21" i="12"/>
  <c r="B21" i="12"/>
  <c r="A21" i="12"/>
  <c r="AJ20" i="12"/>
  <c r="D20" i="12"/>
  <c r="C20" i="12"/>
  <c r="B20" i="12"/>
  <c r="AN20" i="12" s="1"/>
  <c r="A20" i="12"/>
  <c r="D19" i="12"/>
  <c r="C19" i="12"/>
  <c r="B19" i="12"/>
  <c r="AN19" i="12" s="1"/>
  <c r="A19" i="12"/>
  <c r="AL18" i="12"/>
  <c r="AK18" i="12"/>
  <c r="D18" i="12"/>
  <c r="C18" i="12"/>
  <c r="B18" i="12"/>
  <c r="AJ18" i="12" s="1"/>
  <c r="A18" i="12"/>
  <c r="AL17" i="12"/>
  <c r="D17" i="12"/>
  <c r="C17" i="12"/>
  <c r="B17" i="12"/>
  <c r="AM17" i="12" s="1"/>
  <c r="A17" i="12"/>
  <c r="AJ16" i="12"/>
  <c r="D16" i="12"/>
  <c r="C16" i="12"/>
  <c r="B16" i="12"/>
  <c r="AN16" i="12" s="1"/>
  <c r="A16" i="12"/>
  <c r="D15" i="12"/>
  <c r="C15" i="12"/>
  <c r="B15" i="12"/>
  <c r="AN15" i="12" s="1"/>
  <c r="A15" i="12"/>
  <c r="AN14" i="12"/>
  <c r="AK14" i="12"/>
  <c r="D14" i="12"/>
  <c r="C14" i="12"/>
  <c r="B14" i="12"/>
  <c r="AJ14" i="12" s="1"/>
  <c r="A14" i="12"/>
  <c r="AK13" i="12"/>
  <c r="AJ13" i="12"/>
  <c r="D13" i="12"/>
  <c r="C13" i="12"/>
  <c r="B13" i="12"/>
  <c r="AN13" i="12" s="1"/>
  <c r="A13" i="12"/>
  <c r="D12" i="12"/>
  <c r="C12" i="12"/>
  <c r="B12" i="12"/>
  <c r="AN12" i="12" s="1"/>
  <c r="A12" i="12"/>
  <c r="D11" i="12"/>
  <c r="C11" i="12"/>
  <c r="B11" i="12"/>
  <c r="AN11" i="12" s="1"/>
  <c r="A11" i="12"/>
  <c r="AM10" i="12"/>
  <c r="D10" i="12"/>
  <c r="C10" i="12"/>
  <c r="B10" i="12"/>
  <c r="AJ10" i="12" s="1"/>
  <c r="A10" i="12"/>
  <c r="AN9" i="12"/>
  <c r="AM9" i="12"/>
  <c r="AL9" i="12"/>
  <c r="AJ9" i="12"/>
  <c r="D9" i="12"/>
  <c r="C9" i="12"/>
  <c r="B9" i="12"/>
  <c r="AK9" i="12" s="1"/>
  <c r="A9" i="12"/>
  <c r="D8" i="12"/>
  <c r="C8" i="12"/>
  <c r="B8" i="12"/>
  <c r="AN8" i="12" s="1"/>
  <c r="A8" i="12"/>
  <c r="D7" i="12"/>
  <c r="C7" i="12"/>
  <c r="B7" i="12"/>
  <c r="AN7" i="12" s="1"/>
  <c r="A7" i="12"/>
  <c r="D6" i="12"/>
  <c r="C6" i="12"/>
  <c r="B6" i="12"/>
  <c r="AL6" i="12" s="1"/>
  <c r="A6" i="12"/>
  <c r="AM5" i="12"/>
  <c r="D5" i="12"/>
  <c r="C5" i="12"/>
  <c r="B5" i="12"/>
  <c r="A5" i="12"/>
  <c r="AI3" i="12"/>
  <c r="AH3" i="12"/>
  <c r="AH45" i="12" s="1"/>
  <c r="AG3" i="12"/>
  <c r="AG45" i="12" s="1"/>
  <c r="AF3" i="12"/>
  <c r="AF45" i="12" s="1"/>
  <c r="AE3" i="12"/>
  <c r="AE45" i="12" s="1"/>
  <c r="AD3" i="12"/>
  <c r="AD45" i="12" s="1"/>
  <c r="AC3" i="12"/>
  <c r="AC45" i="12" s="1"/>
  <c r="AB3" i="12"/>
  <c r="AB45" i="12" s="1"/>
  <c r="AA3" i="12"/>
  <c r="AA45" i="12" s="1"/>
  <c r="Z3" i="12"/>
  <c r="Z45" i="12" s="1"/>
  <c r="Y3" i="12"/>
  <c r="Y45" i="12" s="1"/>
  <c r="X3" i="12"/>
  <c r="X45" i="12" s="1"/>
  <c r="W3" i="12"/>
  <c r="W45" i="12" s="1"/>
  <c r="V3" i="12"/>
  <c r="V45" i="12" s="1"/>
  <c r="U3" i="12"/>
  <c r="U45" i="12" s="1"/>
  <c r="T3" i="12"/>
  <c r="T45" i="12" s="1"/>
  <c r="S3" i="12"/>
  <c r="S45" i="12" s="1"/>
  <c r="R3" i="12"/>
  <c r="R45" i="12" s="1"/>
  <c r="Q3" i="12"/>
  <c r="Q45" i="12" s="1"/>
  <c r="P3" i="12"/>
  <c r="P45" i="12" s="1"/>
  <c r="O3" i="12"/>
  <c r="O45" i="12" s="1"/>
  <c r="N3" i="12"/>
  <c r="N45" i="12" s="1"/>
  <c r="M3" i="12"/>
  <c r="M45" i="12" s="1"/>
  <c r="L3" i="12"/>
  <c r="L45" i="12" s="1"/>
  <c r="K3" i="12"/>
  <c r="K45" i="12" s="1"/>
  <c r="J3" i="12"/>
  <c r="I3" i="12"/>
  <c r="I45" i="12" s="1"/>
  <c r="H3" i="12"/>
  <c r="H45" i="12" s="1"/>
  <c r="G3" i="12"/>
  <c r="G45" i="12" s="1"/>
  <c r="F3" i="12"/>
  <c r="F45" i="12" s="1"/>
  <c r="E3" i="12"/>
  <c r="AK5" i="12" s="1"/>
  <c r="A1" i="12"/>
  <c r="AC45" i="11"/>
  <c r="S45" i="11"/>
  <c r="G45" i="11"/>
  <c r="D44" i="11"/>
  <c r="C44" i="11"/>
  <c r="B44" i="11"/>
  <c r="A44" i="11"/>
  <c r="AM43" i="11"/>
  <c r="D43" i="11"/>
  <c r="C43" i="11"/>
  <c r="B43" i="11"/>
  <c r="AN43" i="11" s="1"/>
  <c r="A43" i="11"/>
  <c r="AL42" i="11"/>
  <c r="D42" i="11"/>
  <c r="C42" i="11"/>
  <c r="B42" i="11"/>
  <c r="AN42" i="11" s="1"/>
  <c r="A42" i="11"/>
  <c r="AL41" i="11"/>
  <c r="AJ41" i="11"/>
  <c r="D41" i="11"/>
  <c r="C41" i="11"/>
  <c r="B41" i="11"/>
  <c r="A41" i="11"/>
  <c r="D40" i="11"/>
  <c r="C40" i="11"/>
  <c r="B40" i="11"/>
  <c r="A40" i="11"/>
  <c r="AL39" i="11"/>
  <c r="D39" i="11"/>
  <c r="C39" i="11"/>
  <c r="B39" i="11"/>
  <c r="AN39" i="11" s="1"/>
  <c r="A39" i="11"/>
  <c r="AL38" i="11"/>
  <c r="D38" i="11"/>
  <c r="C38" i="11"/>
  <c r="B38" i="11"/>
  <c r="AN38" i="11" s="1"/>
  <c r="A38" i="11"/>
  <c r="D37" i="11"/>
  <c r="C37" i="11"/>
  <c r="B37" i="11"/>
  <c r="AL37" i="11" s="1"/>
  <c r="A37" i="11"/>
  <c r="D36" i="11"/>
  <c r="C36" i="11"/>
  <c r="B36" i="11"/>
  <c r="A36" i="11"/>
  <c r="AN35" i="11"/>
  <c r="AM35" i="11"/>
  <c r="AL35" i="11"/>
  <c r="AJ35" i="11"/>
  <c r="D35" i="11"/>
  <c r="C35" i="11"/>
  <c r="B35" i="11"/>
  <c r="AK35" i="11" s="1"/>
  <c r="A35" i="11"/>
  <c r="AM34" i="11"/>
  <c r="AL34" i="11"/>
  <c r="AK34" i="11"/>
  <c r="AJ34" i="11"/>
  <c r="D34" i="11"/>
  <c r="C34" i="11"/>
  <c r="B34" i="11"/>
  <c r="AN34" i="11" s="1"/>
  <c r="A34" i="11"/>
  <c r="D33" i="11"/>
  <c r="C33" i="11"/>
  <c r="B33" i="11"/>
  <c r="A33" i="11"/>
  <c r="D32" i="11"/>
  <c r="C32" i="11"/>
  <c r="B32" i="11"/>
  <c r="A32" i="11"/>
  <c r="AJ31" i="11"/>
  <c r="D31" i="11"/>
  <c r="C31" i="11"/>
  <c r="B31" i="11"/>
  <c r="AN31" i="11" s="1"/>
  <c r="A31" i="11"/>
  <c r="AM30" i="11"/>
  <c r="AK30" i="11"/>
  <c r="AJ30" i="11"/>
  <c r="D30" i="11"/>
  <c r="C30" i="11"/>
  <c r="B30" i="11"/>
  <c r="AN30" i="11" s="1"/>
  <c r="A30" i="11"/>
  <c r="D29" i="11"/>
  <c r="C29" i="11"/>
  <c r="B29" i="11"/>
  <c r="A29" i="11"/>
  <c r="D28" i="11"/>
  <c r="C28" i="11"/>
  <c r="B28" i="11"/>
  <c r="A28" i="11"/>
  <c r="AN27" i="11"/>
  <c r="AL27" i="11"/>
  <c r="AK27" i="11"/>
  <c r="D27" i="11"/>
  <c r="C27" i="11"/>
  <c r="B27" i="11"/>
  <c r="AM27" i="11" s="1"/>
  <c r="A27" i="11"/>
  <c r="AL26" i="11"/>
  <c r="D26" i="11"/>
  <c r="C26" i="11"/>
  <c r="B26" i="11"/>
  <c r="AN26" i="11" s="1"/>
  <c r="A26" i="11"/>
  <c r="AL25" i="11"/>
  <c r="AJ25" i="11"/>
  <c r="D25" i="11"/>
  <c r="C25" i="11"/>
  <c r="B25" i="11"/>
  <c r="A25" i="11"/>
  <c r="D24" i="11"/>
  <c r="C24" i="11"/>
  <c r="B24" i="11"/>
  <c r="A24" i="11"/>
  <c r="D23" i="11"/>
  <c r="C23" i="11"/>
  <c r="B23" i="11"/>
  <c r="A23" i="11"/>
  <c r="AJ22" i="11"/>
  <c r="D22" i="11"/>
  <c r="C22" i="11"/>
  <c r="B22" i="11"/>
  <c r="AN22" i="11" s="1"/>
  <c r="A22" i="11"/>
  <c r="D21" i="11"/>
  <c r="C21" i="11"/>
  <c r="B21" i="11"/>
  <c r="AL21" i="11" s="1"/>
  <c r="A21" i="11"/>
  <c r="D20" i="11"/>
  <c r="C20" i="11"/>
  <c r="B20" i="11"/>
  <c r="A20" i="11"/>
  <c r="AM19" i="11"/>
  <c r="D19" i="11"/>
  <c r="C19" i="11"/>
  <c r="B19" i="11"/>
  <c r="AN19" i="11" s="1"/>
  <c r="A19" i="11"/>
  <c r="AL18" i="11"/>
  <c r="D18" i="11"/>
  <c r="C18" i="11"/>
  <c r="B18" i="11"/>
  <c r="AN18" i="11" s="1"/>
  <c r="A18" i="11"/>
  <c r="D17" i="11"/>
  <c r="C17" i="11"/>
  <c r="B17" i="11"/>
  <c r="A17" i="11"/>
  <c r="D16" i="11"/>
  <c r="C16" i="11"/>
  <c r="B16" i="11"/>
  <c r="A16" i="11"/>
  <c r="AN15" i="11"/>
  <c r="AM15" i="11"/>
  <c r="AL15" i="11"/>
  <c r="AK15" i="11"/>
  <c r="AJ15" i="11"/>
  <c r="D15" i="11"/>
  <c r="C15" i="11"/>
  <c r="B15" i="11"/>
  <c r="A15" i="11"/>
  <c r="AM14" i="11"/>
  <c r="AK14" i="11"/>
  <c r="AJ14" i="11"/>
  <c r="D14" i="11"/>
  <c r="C14" i="11"/>
  <c r="B14" i="11"/>
  <c r="AN14" i="11" s="1"/>
  <c r="A14" i="11"/>
  <c r="D13" i="11"/>
  <c r="C13" i="11"/>
  <c r="B13" i="11"/>
  <c r="A13" i="11"/>
  <c r="D12" i="11"/>
  <c r="C12" i="11"/>
  <c r="B12" i="11"/>
  <c r="A12" i="11"/>
  <c r="AM11" i="11"/>
  <c r="AK11" i="11"/>
  <c r="AJ11" i="11"/>
  <c r="D11" i="11"/>
  <c r="C11" i="11"/>
  <c r="B11" i="11"/>
  <c r="AN11" i="11" s="1"/>
  <c r="A11" i="11"/>
  <c r="D10" i="11"/>
  <c r="C10" i="11"/>
  <c r="B10" i="11"/>
  <c r="A10" i="11"/>
  <c r="AL9" i="11"/>
  <c r="D9" i="11"/>
  <c r="C9" i="11"/>
  <c r="B9" i="11"/>
  <c r="AJ9" i="11" s="1"/>
  <c r="A9" i="11"/>
  <c r="D8" i="11"/>
  <c r="C8" i="11"/>
  <c r="B8" i="11"/>
  <c r="A8" i="11"/>
  <c r="AN7" i="11"/>
  <c r="AM7" i="11"/>
  <c r="AL7" i="11"/>
  <c r="AJ7" i="11"/>
  <c r="D7" i="11"/>
  <c r="C7" i="11"/>
  <c r="B7" i="11"/>
  <c r="AK7" i="11" s="1"/>
  <c r="A7" i="11"/>
  <c r="AM6" i="11"/>
  <c r="AL6" i="11"/>
  <c r="AK6" i="11"/>
  <c r="AJ6" i="11"/>
  <c r="D6" i="11"/>
  <c r="C6" i="11"/>
  <c r="B6" i="11"/>
  <c r="AN6" i="11" s="1"/>
  <c r="A6" i="11"/>
  <c r="D5" i="11"/>
  <c r="C5" i="11"/>
  <c r="B5" i="11"/>
  <c r="A5" i="11"/>
  <c r="AI3" i="11"/>
  <c r="AI45" i="11" s="1"/>
  <c r="AH3" i="11"/>
  <c r="AH45" i="11" s="1"/>
  <c r="AG3" i="11"/>
  <c r="AG45" i="11" s="1"/>
  <c r="AF3" i="11"/>
  <c r="AF45" i="11" s="1"/>
  <c r="AE3" i="11"/>
  <c r="AE45" i="11" s="1"/>
  <c r="AD3" i="11"/>
  <c r="AD45" i="11" s="1"/>
  <c r="AC3" i="11"/>
  <c r="AB3" i="11"/>
  <c r="AB45" i="11" s="1"/>
  <c r="AA3" i="11"/>
  <c r="AA45" i="11" s="1"/>
  <c r="Z3" i="11"/>
  <c r="Z45" i="11" s="1"/>
  <c r="Y3" i="11"/>
  <c r="Y45" i="11" s="1"/>
  <c r="X3" i="11"/>
  <c r="X45" i="11" s="1"/>
  <c r="W3" i="11"/>
  <c r="W45" i="11" s="1"/>
  <c r="V3" i="11"/>
  <c r="V45" i="11" s="1"/>
  <c r="U3" i="11"/>
  <c r="U45" i="11" s="1"/>
  <c r="T3" i="11"/>
  <c r="T45" i="11" s="1"/>
  <c r="S3" i="11"/>
  <c r="R3" i="11"/>
  <c r="R45" i="11" s="1"/>
  <c r="Q3" i="11"/>
  <c r="Q45" i="11" s="1"/>
  <c r="P3" i="11"/>
  <c r="P45" i="11" s="1"/>
  <c r="O3" i="11"/>
  <c r="O45" i="11" s="1"/>
  <c r="N3" i="11"/>
  <c r="N45" i="11" s="1"/>
  <c r="M3" i="11"/>
  <c r="M45" i="11" s="1"/>
  <c r="L3" i="11"/>
  <c r="L45" i="11" s="1"/>
  <c r="K3" i="11"/>
  <c r="K45" i="11" s="1"/>
  <c r="J3" i="11"/>
  <c r="J45" i="11" s="1"/>
  <c r="I3" i="11"/>
  <c r="I45" i="11" s="1"/>
  <c r="H3" i="11"/>
  <c r="H45" i="11" s="1"/>
  <c r="G3" i="11"/>
  <c r="F3" i="11"/>
  <c r="F45" i="11" s="1"/>
  <c r="E3" i="11"/>
  <c r="E45" i="11" s="1"/>
  <c r="A1" i="11"/>
  <c r="AG45" i="10"/>
  <c r="AB45" i="10"/>
  <c r="Y45" i="10"/>
  <c r="O45" i="10"/>
  <c r="M45" i="10"/>
  <c r="AN44" i="10"/>
  <c r="D44" i="10"/>
  <c r="C44" i="10"/>
  <c r="B44" i="10"/>
  <c r="AJ44" i="10" s="1"/>
  <c r="A44" i="10"/>
  <c r="D43" i="10"/>
  <c r="C43" i="10"/>
  <c r="B43" i="10"/>
  <c r="A43" i="10"/>
  <c r="D42" i="10"/>
  <c r="C42" i="10"/>
  <c r="B42" i="10"/>
  <c r="A42" i="10"/>
  <c r="AM41" i="10"/>
  <c r="D41" i="10"/>
  <c r="C41" i="10"/>
  <c r="B41" i="10"/>
  <c r="A41" i="10"/>
  <c r="AM40" i="10"/>
  <c r="AK40" i="10"/>
  <c r="D40" i="10"/>
  <c r="C40" i="10"/>
  <c r="B40" i="10"/>
  <c r="AN40" i="10" s="1"/>
  <c r="A40" i="10"/>
  <c r="AL39" i="10"/>
  <c r="AK39" i="10"/>
  <c r="AJ39" i="10"/>
  <c r="D39" i="10"/>
  <c r="C39" i="10"/>
  <c r="B39" i="10"/>
  <c r="AM39" i="10" s="1"/>
  <c r="A39" i="10"/>
  <c r="D38" i="10"/>
  <c r="C38" i="10"/>
  <c r="B38" i="10"/>
  <c r="AM38" i="10" s="1"/>
  <c r="A38" i="10"/>
  <c r="AM37" i="10"/>
  <c r="D37" i="10"/>
  <c r="C37" i="10"/>
  <c r="B37" i="10"/>
  <c r="AK37" i="10" s="1"/>
  <c r="A37" i="10"/>
  <c r="D36" i="10"/>
  <c r="C36" i="10"/>
  <c r="B36" i="10"/>
  <c r="AN36" i="10" s="1"/>
  <c r="A36" i="10"/>
  <c r="AK35" i="10"/>
  <c r="D35" i="10"/>
  <c r="C35" i="10"/>
  <c r="B35" i="10"/>
  <c r="AM35" i="10" s="1"/>
  <c r="A35" i="10"/>
  <c r="D34" i="10"/>
  <c r="C34" i="10"/>
  <c r="B34" i="10"/>
  <c r="A34" i="10"/>
  <c r="AJ33" i="10"/>
  <c r="D33" i="10"/>
  <c r="C33" i="10"/>
  <c r="B33" i="10"/>
  <c r="AK33" i="10" s="1"/>
  <c r="A33" i="10"/>
  <c r="AN32" i="10"/>
  <c r="AL32" i="10"/>
  <c r="AJ32" i="10"/>
  <c r="D32" i="10"/>
  <c r="C32" i="10"/>
  <c r="B32" i="10"/>
  <c r="AK32" i="10" s="1"/>
  <c r="A32" i="10"/>
  <c r="D31" i="10"/>
  <c r="C31" i="10"/>
  <c r="B31" i="10"/>
  <c r="A31" i="10"/>
  <c r="D30" i="10"/>
  <c r="C30" i="10"/>
  <c r="B30" i="10"/>
  <c r="A30" i="10"/>
  <c r="D29" i="10"/>
  <c r="C29" i="10"/>
  <c r="B29" i="10"/>
  <c r="A29" i="10"/>
  <c r="D28" i="10"/>
  <c r="C28" i="10"/>
  <c r="B28" i="10"/>
  <c r="A28" i="10"/>
  <c r="AN27" i="10"/>
  <c r="D27" i="10"/>
  <c r="C27" i="10"/>
  <c r="B27" i="10"/>
  <c r="AM27" i="10" s="1"/>
  <c r="A27" i="10"/>
  <c r="D26" i="10"/>
  <c r="C26" i="10"/>
  <c r="B26" i="10"/>
  <c r="AK26" i="10" s="1"/>
  <c r="A26" i="10"/>
  <c r="AM25" i="10"/>
  <c r="D25" i="10"/>
  <c r="C25" i="10"/>
  <c r="B25" i="10"/>
  <c r="AK25" i="10" s="1"/>
  <c r="A25" i="10"/>
  <c r="AN24" i="10"/>
  <c r="AL24" i="10"/>
  <c r="D24" i="10"/>
  <c r="C24" i="10"/>
  <c r="B24" i="10"/>
  <c r="AK24" i="10" s="1"/>
  <c r="A24" i="10"/>
  <c r="D23" i="10"/>
  <c r="C23" i="10"/>
  <c r="B23" i="10"/>
  <c r="A23" i="10"/>
  <c r="D22" i="10"/>
  <c r="C22" i="10"/>
  <c r="B22" i="10"/>
  <c r="A22" i="10"/>
  <c r="D21" i="10"/>
  <c r="C21" i="10"/>
  <c r="B21" i="10"/>
  <c r="A21" i="10"/>
  <c r="D20" i="10"/>
  <c r="C20" i="10"/>
  <c r="B20" i="10"/>
  <c r="A20" i="10"/>
  <c r="D19" i="10"/>
  <c r="C19" i="10"/>
  <c r="B19" i="10"/>
  <c r="AM19" i="10" s="1"/>
  <c r="A19" i="10"/>
  <c r="D18" i="10"/>
  <c r="C18" i="10"/>
  <c r="B18" i="10"/>
  <c r="AK18" i="10" s="1"/>
  <c r="A18" i="10"/>
  <c r="AM17" i="10"/>
  <c r="D17" i="10"/>
  <c r="C17" i="10"/>
  <c r="B17" i="10"/>
  <c r="AK17" i="10" s="1"/>
  <c r="A17" i="10"/>
  <c r="AN16" i="10"/>
  <c r="D16" i="10"/>
  <c r="C16" i="10"/>
  <c r="B16" i="10"/>
  <c r="AM16" i="10" s="1"/>
  <c r="A16" i="10"/>
  <c r="AN15" i="10"/>
  <c r="D15" i="10"/>
  <c r="C15" i="10"/>
  <c r="B15" i="10"/>
  <c r="AM15" i="10" s="1"/>
  <c r="A15" i="10"/>
  <c r="AK14" i="10"/>
  <c r="D14" i="10"/>
  <c r="C14" i="10"/>
  <c r="B14" i="10"/>
  <c r="A14" i="10"/>
  <c r="AN13" i="10"/>
  <c r="AL13" i="10"/>
  <c r="AJ13" i="10"/>
  <c r="D13" i="10"/>
  <c r="C13" i="10"/>
  <c r="B13" i="10"/>
  <c r="AK13" i="10" s="1"/>
  <c r="A13" i="10"/>
  <c r="AN12" i="10"/>
  <c r="AM12" i="10"/>
  <c r="AK12" i="10"/>
  <c r="D12" i="10"/>
  <c r="C12" i="10"/>
  <c r="B12" i="10"/>
  <c r="AJ12" i="10" s="1"/>
  <c r="A12" i="10"/>
  <c r="D11" i="10"/>
  <c r="C11" i="10"/>
  <c r="B11" i="10"/>
  <c r="A11" i="10"/>
  <c r="AM10" i="10"/>
  <c r="D10" i="10"/>
  <c r="C10" i="10"/>
  <c r="B10" i="10"/>
  <c r="A10" i="10"/>
  <c r="AL9" i="10"/>
  <c r="D9" i="10"/>
  <c r="C9" i="10"/>
  <c r="B9" i="10"/>
  <c r="A9" i="10"/>
  <c r="AL8" i="10"/>
  <c r="D8" i="10"/>
  <c r="C8" i="10"/>
  <c r="B8" i="10"/>
  <c r="AN8" i="10" s="1"/>
  <c r="A8" i="10"/>
  <c r="AL7" i="10"/>
  <c r="D7" i="10"/>
  <c r="C7" i="10"/>
  <c r="B7" i="10"/>
  <c r="AM7" i="10" s="1"/>
  <c r="A7" i="10"/>
  <c r="D6" i="10"/>
  <c r="C6" i="10"/>
  <c r="B6" i="10"/>
  <c r="A6" i="10"/>
  <c r="D5" i="10"/>
  <c r="C5" i="10"/>
  <c r="B5" i="10"/>
  <c r="A5" i="10"/>
  <c r="AM5" i="10" s="1"/>
  <c r="AI3" i="10"/>
  <c r="AI45" i="10" s="1"/>
  <c r="AH3" i="10"/>
  <c r="AH45" i="10" s="1"/>
  <c r="AG3" i="10"/>
  <c r="AF3" i="10"/>
  <c r="AF45" i="10" s="1"/>
  <c r="AE3" i="10"/>
  <c r="AE45" i="10" s="1"/>
  <c r="AD3" i="10"/>
  <c r="AD45" i="10" s="1"/>
  <c r="AC3" i="10"/>
  <c r="AC45" i="10" s="1"/>
  <c r="AB3" i="10"/>
  <c r="AA3" i="10"/>
  <c r="AA45" i="10" s="1"/>
  <c r="Z3" i="10"/>
  <c r="Z45" i="10" s="1"/>
  <c r="Y3" i="10"/>
  <c r="X3" i="10"/>
  <c r="X45" i="10" s="1"/>
  <c r="W3" i="10"/>
  <c r="W45" i="10" s="1"/>
  <c r="V3" i="10"/>
  <c r="V45" i="10" s="1"/>
  <c r="U3" i="10"/>
  <c r="U45" i="10" s="1"/>
  <c r="T3" i="10"/>
  <c r="T45" i="10" s="1"/>
  <c r="S3" i="10"/>
  <c r="S45" i="10" s="1"/>
  <c r="R3" i="10"/>
  <c r="R45" i="10" s="1"/>
  <c r="Q3" i="10"/>
  <c r="Q45" i="10" s="1"/>
  <c r="P3" i="10"/>
  <c r="P45" i="10" s="1"/>
  <c r="O3" i="10"/>
  <c r="N3" i="10"/>
  <c r="N45" i="10" s="1"/>
  <c r="M3" i="10"/>
  <c r="L3" i="10"/>
  <c r="L45" i="10" s="1"/>
  <c r="K3" i="10"/>
  <c r="K45" i="10" s="1"/>
  <c r="J3" i="10"/>
  <c r="J45" i="10" s="1"/>
  <c r="I3" i="10"/>
  <c r="I45" i="10" s="1"/>
  <c r="H3" i="10"/>
  <c r="H45" i="10" s="1"/>
  <c r="G3" i="10"/>
  <c r="G45" i="10" s="1"/>
  <c r="F3" i="10"/>
  <c r="F45" i="10" s="1"/>
  <c r="E3" i="10"/>
  <c r="E45" i="10" s="1"/>
  <c r="A1" i="10"/>
  <c r="AM44" i="9"/>
  <c r="AK44" i="9"/>
  <c r="AJ44" i="9"/>
  <c r="D44" i="9"/>
  <c r="C44" i="9"/>
  <c r="B44" i="9"/>
  <c r="A44" i="9"/>
  <c r="D43" i="9"/>
  <c r="C43" i="9"/>
  <c r="B43" i="9"/>
  <c r="A43" i="9"/>
  <c r="AL42" i="9"/>
  <c r="D42" i="9"/>
  <c r="C42" i="9"/>
  <c r="B42" i="9"/>
  <c r="AJ42" i="9" s="1"/>
  <c r="A42" i="9"/>
  <c r="AL41" i="9"/>
  <c r="D41" i="9"/>
  <c r="C41" i="9"/>
  <c r="B41" i="9"/>
  <c r="AJ41" i="9" s="1"/>
  <c r="A41" i="9"/>
  <c r="D40" i="9"/>
  <c r="C40" i="9"/>
  <c r="B40" i="9"/>
  <c r="A40" i="9"/>
  <c r="D39" i="9"/>
  <c r="C39" i="9"/>
  <c r="B39" i="9"/>
  <c r="A39" i="9"/>
  <c r="AN38" i="9"/>
  <c r="AL38" i="9"/>
  <c r="AK38" i="9"/>
  <c r="D38" i="9"/>
  <c r="C38" i="9"/>
  <c r="B38" i="9"/>
  <c r="AJ38" i="9" s="1"/>
  <c r="A38" i="9"/>
  <c r="AL37" i="9"/>
  <c r="AJ37" i="9"/>
  <c r="D37" i="9"/>
  <c r="C37" i="9"/>
  <c r="B37" i="9"/>
  <c r="AM37" i="9" s="1"/>
  <c r="A37" i="9"/>
  <c r="AK36" i="9"/>
  <c r="D36" i="9"/>
  <c r="C36" i="9"/>
  <c r="B36" i="9"/>
  <c r="AN36" i="9" s="1"/>
  <c r="A36" i="9"/>
  <c r="AL35" i="9"/>
  <c r="D35" i="9"/>
  <c r="C35" i="9"/>
  <c r="B35" i="9"/>
  <c r="AN35" i="9" s="1"/>
  <c r="A35" i="9"/>
  <c r="D34" i="9"/>
  <c r="C34" i="9"/>
  <c r="B34" i="9"/>
  <c r="AJ34" i="9" s="1"/>
  <c r="A34" i="9"/>
  <c r="AN33" i="9"/>
  <c r="AL33" i="9"/>
  <c r="AK33" i="9"/>
  <c r="AJ33" i="9"/>
  <c r="D33" i="9"/>
  <c r="C33" i="9"/>
  <c r="B33" i="9"/>
  <c r="AM33" i="9" s="1"/>
  <c r="A33" i="9"/>
  <c r="AN32" i="9"/>
  <c r="D32" i="9"/>
  <c r="C32" i="9"/>
  <c r="B32" i="9"/>
  <c r="AK32" i="9" s="1"/>
  <c r="A32" i="9"/>
  <c r="D31" i="9"/>
  <c r="C31" i="9"/>
  <c r="B31" i="9"/>
  <c r="A31" i="9"/>
  <c r="AN30" i="9"/>
  <c r="D30" i="9"/>
  <c r="C30" i="9"/>
  <c r="B30" i="9"/>
  <c r="AM30" i="9" s="1"/>
  <c r="A30" i="9"/>
  <c r="AM29" i="9"/>
  <c r="AK29" i="9"/>
  <c r="D29" i="9"/>
  <c r="C29" i="9"/>
  <c r="B29" i="9"/>
  <c r="AJ29" i="9" s="1"/>
  <c r="A29" i="9"/>
  <c r="AL28" i="9"/>
  <c r="D28" i="9"/>
  <c r="C28" i="9"/>
  <c r="B28" i="9"/>
  <c r="AM28" i="9" s="1"/>
  <c r="A28" i="9"/>
  <c r="D27" i="9"/>
  <c r="C27" i="9"/>
  <c r="B27" i="9"/>
  <c r="A27" i="9"/>
  <c r="D26" i="9"/>
  <c r="C26" i="9"/>
  <c r="B26" i="9"/>
  <c r="AM26" i="9" s="1"/>
  <c r="A26" i="9"/>
  <c r="AN25" i="9"/>
  <c r="D25" i="9"/>
  <c r="C25" i="9"/>
  <c r="B25" i="9"/>
  <c r="A25" i="9"/>
  <c r="AM24" i="9"/>
  <c r="AK24" i="9"/>
  <c r="D24" i="9"/>
  <c r="C24" i="9"/>
  <c r="B24" i="9"/>
  <c r="AN24" i="9" s="1"/>
  <c r="A24" i="9"/>
  <c r="D23" i="9"/>
  <c r="C23" i="9"/>
  <c r="B23" i="9"/>
  <c r="A23" i="9"/>
  <c r="AN22" i="9"/>
  <c r="D22" i="9"/>
  <c r="C22" i="9"/>
  <c r="B22" i="9"/>
  <c r="AM22" i="9" s="1"/>
  <c r="A22" i="9"/>
  <c r="AN21" i="9"/>
  <c r="AM21" i="9"/>
  <c r="D21" i="9"/>
  <c r="C21" i="9"/>
  <c r="B21" i="9"/>
  <c r="AJ21" i="9" s="1"/>
  <c r="A21" i="9"/>
  <c r="AN20" i="9"/>
  <c r="AL20" i="9"/>
  <c r="AK20" i="9"/>
  <c r="AJ20" i="9"/>
  <c r="D20" i="9"/>
  <c r="C20" i="9"/>
  <c r="B20" i="9"/>
  <c r="AM20" i="9" s="1"/>
  <c r="A20" i="9"/>
  <c r="D19" i="9"/>
  <c r="C19" i="9"/>
  <c r="B19" i="9"/>
  <c r="A19" i="9"/>
  <c r="D18" i="9"/>
  <c r="C18" i="9"/>
  <c r="B18" i="9"/>
  <c r="A18" i="9"/>
  <c r="AN17" i="9"/>
  <c r="AK17" i="9"/>
  <c r="D17" i="9"/>
  <c r="C17" i="9"/>
  <c r="B17" i="9"/>
  <c r="AJ17" i="9" s="1"/>
  <c r="A17" i="9"/>
  <c r="AM16" i="9"/>
  <c r="AK16" i="9"/>
  <c r="AJ16" i="9"/>
  <c r="D16" i="9"/>
  <c r="C16" i="9"/>
  <c r="B16" i="9"/>
  <c r="AN16" i="9" s="1"/>
  <c r="A16" i="9"/>
  <c r="D15" i="9"/>
  <c r="C15" i="9"/>
  <c r="B15" i="9"/>
  <c r="A15" i="9"/>
  <c r="D14" i="9"/>
  <c r="C14" i="9"/>
  <c r="B14" i="9"/>
  <c r="AM14" i="9" s="1"/>
  <c r="A14" i="9"/>
  <c r="D13" i="9"/>
  <c r="C13" i="9"/>
  <c r="B13" i="9"/>
  <c r="AK13" i="9" s="1"/>
  <c r="A13" i="9"/>
  <c r="AL12" i="9"/>
  <c r="D12" i="9"/>
  <c r="C12" i="9"/>
  <c r="B12" i="9"/>
  <c r="A12" i="9"/>
  <c r="D11" i="9"/>
  <c r="C11" i="9"/>
  <c r="B11" i="9"/>
  <c r="A11" i="9"/>
  <c r="D10" i="9"/>
  <c r="C10" i="9"/>
  <c r="B10" i="9"/>
  <c r="AM10" i="9" s="1"/>
  <c r="A10" i="9"/>
  <c r="AN9" i="9"/>
  <c r="AM9" i="9"/>
  <c r="AK9" i="9"/>
  <c r="D9" i="9"/>
  <c r="C9" i="9"/>
  <c r="B9" i="9"/>
  <c r="AJ9" i="9" s="1"/>
  <c r="A9" i="9"/>
  <c r="AM8" i="9"/>
  <c r="AL8" i="9"/>
  <c r="AK8" i="9"/>
  <c r="D8" i="9"/>
  <c r="C8" i="9"/>
  <c r="B8" i="9"/>
  <c r="AN8" i="9" s="1"/>
  <c r="A8" i="9"/>
  <c r="D7" i="9"/>
  <c r="C7" i="9"/>
  <c r="B7" i="9"/>
  <c r="A7" i="9"/>
  <c r="AN6" i="9"/>
  <c r="D6" i="9"/>
  <c r="C6" i="9"/>
  <c r="B6" i="9"/>
  <c r="AM6" i="9" s="1"/>
  <c r="A6" i="9"/>
  <c r="D5" i="9"/>
  <c r="C5" i="9"/>
  <c r="B5" i="9"/>
  <c r="AM5" i="9" s="1"/>
  <c r="A5" i="9"/>
  <c r="AI3" i="9"/>
  <c r="AI45" i="9" s="1"/>
  <c r="AH3" i="9"/>
  <c r="AH45" i="9" s="1"/>
  <c r="AG3" i="9"/>
  <c r="AG45" i="9" s="1"/>
  <c r="AF3" i="9"/>
  <c r="AF45" i="9" s="1"/>
  <c r="AE3" i="9"/>
  <c r="AE45" i="9" s="1"/>
  <c r="AD3" i="9"/>
  <c r="AD45" i="9" s="1"/>
  <c r="AC3" i="9"/>
  <c r="AC45" i="9" s="1"/>
  <c r="AB3" i="9"/>
  <c r="AB45" i="9" s="1"/>
  <c r="AA3" i="9"/>
  <c r="AA45" i="9" s="1"/>
  <c r="Z3" i="9"/>
  <c r="Z45" i="9" s="1"/>
  <c r="Y3" i="9"/>
  <c r="Y45" i="9" s="1"/>
  <c r="X3" i="9"/>
  <c r="X45" i="9" s="1"/>
  <c r="W3" i="9"/>
  <c r="W45" i="9" s="1"/>
  <c r="V3" i="9"/>
  <c r="V45" i="9" s="1"/>
  <c r="U3" i="9"/>
  <c r="U45" i="9" s="1"/>
  <c r="T3" i="9"/>
  <c r="T45" i="9" s="1"/>
  <c r="S3" i="9"/>
  <c r="S45" i="9" s="1"/>
  <c r="R3" i="9"/>
  <c r="R45" i="9" s="1"/>
  <c r="Q3" i="9"/>
  <c r="Q45" i="9" s="1"/>
  <c r="P3" i="9"/>
  <c r="P45" i="9" s="1"/>
  <c r="O3" i="9"/>
  <c r="O45" i="9" s="1"/>
  <c r="N3" i="9"/>
  <c r="N45" i="9" s="1"/>
  <c r="M3" i="9"/>
  <c r="M45" i="9" s="1"/>
  <c r="L3" i="9"/>
  <c r="L45" i="9" s="1"/>
  <c r="K3" i="9"/>
  <c r="K45" i="9" s="1"/>
  <c r="J3" i="9"/>
  <c r="J45" i="9" s="1"/>
  <c r="I3" i="9"/>
  <c r="I45" i="9" s="1"/>
  <c r="H3" i="9"/>
  <c r="H45" i="9" s="1"/>
  <c r="G3" i="9"/>
  <c r="G45" i="9" s="1"/>
  <c r="F3" i="9"/>
  <c r="F45" i="9" s="1"/>
  <c r="E3" i="9"/>
  <c r="A1" i="9"/>
  <c r="N45" i="8"/>
  <c r="L45" i="8"/>
  <c r="D44" i="8"/>
  <c r="C44" i="8"/>
  <c r="B44" i="8"/>
  <c r="AN44" i="8" s="1"/>
  <c r="A44" i="8"/>
  <c r="AM43" i="8"/>
  <c r="D43" i="8"/>
  <c r="C43" i="8"/>
  <c r="B43" i="8"/>
  <c r="AL43" i="8" s="1"/>
  <c r="A43" i="8"/>
  <c r="AN42" i="8"/>
  <c r="AM42" i="8"/>
  <c r="D42" i="8"/>
  <c r="C42" i="8"/>
  <c r="B42" i="8"/>
  <c r="AJ42" i="8" s="1"/>
  <c r="A42" i="8"/>
  <c r="D41" i="8"/>
  <c r="C41" i="8"/>
  <c r="B41" i="8"/>
  <c r="AN41" i="8" s="1"/>
  <c r="A41" i="8"/>
  <c r="D40" i="8"/>
  <c r="C40" i="8"/>
  <c r="B40" i="8"/>
  <c r="AN40" i="8" s="1"/>
  <c r="A40" i="8"/>
  <c r="D39" i="8"/>
  <c r="C39" i="8"/>
  <c r="B39" i="8"/>
  <c r="A39" i="8"/>
  <c r="AN38" i="8"/>
  <c r="AM38" i="8"/>
  <c r="AL38" i="8"/>
  <c r="AJ38" i="8"/>
  <c r="D38" i="8"/>
  <c r="C38" i="8"/>
  <c r="B38" i="8"/>
  <c r="AK38" i="8" s="1"/>
  <c r="A38" i="8"/>
  <c r="D37" i="8"/>
  <c r="C37" i="8"/>
  <c r="B37" i="8"/>
  <c r="A37" i="8"/>
  <c r="D36" i="8"/>
  <c r="C36" i="8"/>
  <c r="B36" i="8"/>
  <c r="AN36" i="8" s="1"/>
  <c r="A36" i="8"/>
  <c r="AM35" i="8"/>
  <c r="D35" i="8"/>
  <c r="C35" i="8"/>
  <c r="B35" i="8"/>
  <c r="AL35" i="8" s="1"/>
  <c r="A35" i="8"/>
  <c r="AN34" i="8"/>
  <c r="AM34" i="8"/>
  <c r="AL34" i="8"/>
  <c r="AK34" i="8"/>
  <c r="D34" i="8"/>
  <c r="C34" i="8"/>
  <c r="B34" i="8"/>
  <c r="AJ34" i="8" s="1"/>
  <c r="A34" i="8"/>
  <c r="AK33" i="8"/>
  <c r="D33" i="8"/>
  <c r="C33" i="8"/>
  <c r="B33" i="8"/>
  <c r="AN33" i="8" s="1"/>
  <c r="A33" i="8"/>
  <c r="D32" i="8"/>
  <c r="C32" i="8"/>
  <c r="B32" i="8"/>
  <c r="AN32" i="8" s="1"/>
  <c r="A32" i="8"/>
  <c r="D31" i="8"/>
  <c r="C31" i="8"/>
  <c r="B31" i="8"/>
  <c r="AL31" i="8" s="1"/>
  <c r="A31" i="8"/>
  <c r="AJ30" i="8"/>
  <c r="D30" i="8"/>
  <c r="C30" i="8"/>
  <c r="B30" i="8"/>
  <c r="AM30" i="8" s="1"/>
  <c r="A30" i="8"/>
  <c r="D29" i="8"/>
  <c r="C29" i="8"/>
  <c r="B29" i="8"/>
  <c r="A29" i="8"/>
  <c r="D28" i="8"/>
  <c r="C28" i="8"/>
  <c r="B28" i="8"/>
  <c r="AN28" i="8" s="1"/>
  <c r="A28" i="8"/>
  <c r="AM27" i="8"/>
  <c r="D27" i="8"/>
  <c r="C27" i="8"/>
  <c r="B27" i="8"/>
  <c r="AL27" i="8" s="1"/>
  <c r="A27" i="8"/>
  <c r="AM26" i="8"/>
  <c r="AK26" i="8"/>
  <c r="D26" i="8"/>
  <c r="C26" i="8"/>
  <c r="B26" i="8"/>
  <c r="AJ26" i="8" s="1"/>
  <c r="A26" i="8"/>
  <c r="AK25" i="8"/>
  <c r="D25" i="8"/>
  <c r="C25" i="8"/>
  <c r="B25" i="8"/>
  <c r="AN25" i="8" s="1"/>
  <c r="A25" i="8"/>
  <c r="D24" i="8"/>
  <c r="C24" i="8"/>
  <c r="B24" i="8"/>
  <c r="AN24" i="8" s="1"/>
  <c r="A24" i="8"/>
  <c r="D23" i="8"/>
  <c r="C23" i="8"/>
  <c r="B23" i="8"/>
  <c r="AL23" i="8" s="1"/>
  <c r="A23" i="8"/>
  <c r="AN22" i="8"/>
  <c r="AL22" i="8"/>
  <c r="AK22" i="8"/>
  <c r="AJ22" i="8"/>
  <c r="D22" i="8"/>
  <c r="C22" i="8"/>
  <c r="B22" i="8"/>
  <c r="AM22" i="8" s="1"/>
  <c r="A22" i="8"/>
  <c r="AK21" i="8"/>
  <c r="D21" i="8"/>
  <c r="C21" i="8"/>
  <c r="B21" i="8"/>
  <c r="AN21" i="8" s="1"/>
  <c r="A21" i="8"/>
  <c r="D20" i="8"/>
  <c r="C20" i="8"/>
  <c r="B20" i="8"/>
  <c r="AN20" i="8" s="1"/>
  <c r="A20" i="8"/>
  <c r="AM19" i="8"/>
  <c r="D19" i="8"/>
  <c r="C19" i="8"/>
  <c r="B19" i="8"/>
  <c r="AL19" i="8" s="1"/>
  <c r="A19" i="8"/>
  <c r="AM18" i="8"/>
  <c r="D18" i="8"/>
  <c r="C18" i="8"/>
  <c r="B18" i="8"/>
  <c r="A18" i="8"/>
  <c r="AK17" i="8"/>
  <c r="D17" i="8"/>
  <c r="C17" i="8"/>
  <c r="B17" i="8"/>
  <c r="AN17" i="8" s="1"/>
  <c r="A17" i="8"/>
  <c r="D16" i="8"/>
  <c r="C16" i="8"/>
  <c r="B16" i="8"/>
  <c r="AN16" i="8" s="1"/>
  <c r="A16" i="8"/>
  <c r="D15" i="8"/>
  <c r="C15" i="8"/>
  <c r="B15" i="8"/>
  <c r="AL15" i="8" s="1"/>
  <c r="A15" i="8"/>
  <c r="D14" i="8"/>
  <c r="C14" i="8"/>
  <c r="B14" i="8"/>
  <c r="AL14" i="8" s="1"/>
  <c r="A14" i="8"/>
  <c r="D13" i="8"/>
  <c r="C13" i="8"/>
  <c r="B13" i="8"/>
  <c r="AN13" i="8" s="1"/>
  <c r="A13" i="8"/>
  <c r="D12" i="8"/>
  <c r="C12" i="8"/>
  <c r="B12" i="8"/>
  <c r="AN12" i="8" s="1"/>
  <c r="A12" i="8"/>
  <c r="AM11" i="8"/>
  <c r="D11" i="8"/>
  <c r="C11" i="8"/>
  <c r="B11" i="8"/>
  <c r="AL11" i="8" s="1"/>
  <c r="A11" i="8"/>
  <c r="D10" i="8"/>
  <c r="C10" i="8"/>
  <c r="B10" i="8"/>
  <c r="A10" i="8"/>
  <c r="D9" i="8"/>
  <c r="C9" i="8"/>
  <c r="B9" i="8"/>
  <c r="AN9" i="8" s="1"/>
  <c r="A9" i="8"/>
  <c r="D8" i="8"/>
  <c r="C8" i="8"/>
  <c r="B8" i="8"/>
  <c r="AN8" i="8" s="1"/>
  <c r="A8" i="8"/>
  <c r="D7" i="8"/>
  <c r="C7" i="8"/>
  <c r="B7" i="8"/>
  <c r="A7" i="8"/>
  <c r="D6" i="8"/>
  <c r="C6" i="8"/>
  <c r="B6" i="8"/>
  <c r="A6" i="8"/>
  <c r="D5" i="8"/>
  <c r="C5" i="8"/>
  <c r="B5" i="8"/>
  <c r="A5" i="8"/>
  <c r="AI3" i="8"/>
  <c r="AI45" i="8" s="1"/>
  <c r="AH3" i="8"/>
  <c r="AH45" i="8" s="1"/>
  <c r="AG3" i="8"/>
  <c r="AG45" i="8" s="1"/>
  <c r="AF3" i="8"/>
  <c r="AF45" i="8" s="1"/>
  <c r="AE3" i="8"/>
  <c r="AE45" i="8" s="1"/>
  <c r="AD3" i="8"/>
  <c r="AD45" i="8" s="1"/>
  <c r="AC3" i="8"/>
  <c r="AC45" i="8" s="1"/>
  <c r="AB3" i="8"/>
  <c r="AB45" i="8" s="1"/>
  <c r="AA3" i="8"/>
  <c r="AA45" i="8" s="1"/>
  <c r="Z3" i="8"/>
  <c r="Z45" i="8" s="1"/>
  <c r="Y3" i="8"/>
  <c r="Y45" i="8" s="1"/>
  <c r="X3" i="8"/>
  <c r="X45" i="8" s="1"/>
  <c r="W3" i="8"/>
  <c r="W45" i="8" s="1"/>
  <c r="V3" i="8"/>
  <c r="V45" i="8" s="1"/>
  <c r="U3" i="8"/>
  <c r="U45" i="8" s="1"/>
  <c r="T3" i="8"/>
  <c r="T45" i="8" s="1"/>
  <c r="S3" i="8"/>
  <c r="S45" i="8" s="1"/>
  <c r="R3" i="8"/>
  <c r="R45" i="8" s="1"/>
  <c r="Q3" i="8"/>
  <c r="Q45" i="8" s="1"/>
  <c r="P3" i="8"/>
  <c r="P45" i="8" s="1"/>
  <c r="O3" i="8"/>
  <c r="O45" i="8" s="1"/>
  <c r="N3" i="8"/>
  <c r="M3" i="8"/>
  <c r="M45" i="8" s="1"/>
  <c r="L3" i="8"/>
  <c r="K3" i="8"/>
  <c r="K45" i="8" s="1"/>
  <c r="J3" i="8"/>
  <c r="J45" i="8" s="1"/>
  <c r="I3" i="8"/>
  <c r="I45" i="8" s="1"/>
  <c r="H3" i="8"/>
  <c r="H45" i="8" s="1"/>
  <c r="G3" i="8"/>
  <c r="G45" i="8" s="1"/>
  <c r="F3" i="8"/>
  <c r="F45" i="8" s="1"/>
  <c r="E3" i="8"/>
  <c r="E45" i="8" s="1"/>
  <c r="A1" i="8"/>
  <c r="AE45" i="7"/>
  <c r="P45" i="7"/>
  <c r="AN44" i="7"/>
  <c r="AJ44" i="7"/>
  <c r="D44" i="7"/>
  <c r="C44" i="7"/>
  <c r="B44" i="7"/>
  <c r="A44" i="7"/>
  <c r="AN43" i="7"/>
  <c r="AM43" i="7"/>
  <c r="AK43" i="7"/>
  <c r="D43" i="7"/>
  <c r="C43" i="7"/>
  <c r="B43" i="7"/>
  <c r="AJ43" i="7" s="1"/>
  <c r="A43" i="7"/>
  <c r="D42" i="7"/>
  <c r="C42" i="7"/>
  <c r="B42" i="7"/>
  <c r="AL42" i="7" s="1"/>
  <c r="A42" i="7"/>
  <c r="D41" i="7"/>
  <c r="C41" i="7"/>
  <c r="B41" i="7"/>
  <c r="A41" i="7"/>
  <c r="AN40" i="7"/>
  <c r="AL40" i="7"/>
  <c r="AJ40" i="7"/>
  <c r="D40" i="7"/>
  <c r="C40" i="7"/>
  <c r="B40" i="7"/>
  <c r="AK40" i="7" s="1"/>
  <c r="A40" i="7"/>
  <c r="AN39" i="7"/>
  <c r="AM39" i="7"/>
  <c r="AL39" i="7"/>
  <c r="AK39" i="7"/>
  <c r="D39" i="7"/>
  <c r="C39" i="7"/>
  <c r="B39" i="7"/>
  <c r="AJ39" i="7" s="1"/>
  <c r="A39" i="7"/>
  <c r="AM38" i="7"/>
  <c r="D38" i="7"/>
  <c r="C38" i="7"/>
  <c r="B38" i="7"/>
  <c r="AN38" i="7" s="1"/>
  <c r="A38" i="7"/>
  <c r="D37" i="7"/>
  <c r="C37" i="7"/>
  <c r="B37" i="7"/>
  <c r="A37" i="7"/>
  <c r="AN36" i="7"/>
  <c r="AJ36" i="7"/>
  <c r="D36" i="7"/>
  <c r="C36" i="7"/>
  <c r="B36" i="7"/>
  <c r="AK36" i="7" s="1"/>
  <c r="A36" i="7"/>
  <c r="AN35" i="7"/>
  <c r="AM35" i="7"/>
  <c r="AL35" i="7"/>
  <c r="AK35" i="7"/>
  <c r="D35" i="7"/>
  <c r="C35" i="7"/>
  <c r="B35" i="7"/>
  <c r="AJ35" i="7" s="1"/>
  <c r="A35" i="7"/>
  <c r="AN34" i="7"/>
  <c r="AK34" i="7"/>
  <c r="AJ34" i="7"/>
  <c r="D34" i="7"/>
  <c r="C34" i="7"/>
  <c r="B34" i="7"/>
  <c r="AM34" i="7" s="1"/>
  <c r="A34" i="7"/>
  <c r="D33" i="7"/>
  <c r="C33" i="7"/>
  <c r="B33" i="7"/>
  <c r="A33" i="7"/>
  <c r="AL32" i="7"/>
  <c r="AJ32" i="7"/>
  <c r="D32" i="7"/>
  <c r="C32" i="7"/>
  <c r="B32" i="7"/>
  <c r="AK32" i="7" s="1"/>
  <c r="A32" i="7"/>
  <c r="AN31" i="7"/>
  <c r="AM31" i="7"/>
  <c r="AK31" i="7"/>
  <c r="D31" i="7"/>
  <c r="C31" i="7"/>
  <c r="B31" i="7"/>
  <c r="AJ31" i="7" s="1"/>
  <c r="A31" i="7"/>
  <c r="D30" i="7"/>
  <c r="C30" i="7"/>
  <c r="B30" i="7"/>
  <c r="AL30" i="7" s="1"/>
  <c r="A30" i="7"/>
  <c r="D29" i="7"/>
  <c r="C29" i="7"/>
  <c r="B29" i="7"/>
  <c r="A29" i="7"/>
  <c r="AN28" i="7"/>
  <c r="AL28" i="7"/>
  <c r="AJ28" i="7"/>
  <c r="D28" i="7"/>
  <c r="C28" i="7"/>
  <c r="B28" i="7"/>
  <c r="AK28" i="7" s="1"/>
  <c r="A28" i="7"/>
  <c r="AN27" i="7"/>
  <c r="AL27" i="7"/>
  <c r="AK27" i="7"/>
  <c r="D27" i="7"/>
  <c r="C27" i="7"/>
  <c r="B27" i="7"/>
  <c r="AJ27" i="7" s="1"/>
  <c r="A27" i="7"/>
  <c r="AM26" i="7"/>
  <c r="D26" i="7"/>
  <c r="C26" i="7"/>
  <c r="B26" i="7"/>
  <c r="AN26" i="7" s="1"/>
  <c r="A26" i="7"/>
  <c r="D25" i="7"/>
  <c r="C25" i="7"/>
  <c r="B25" i="7"/>
  <c r="A25" i="7"/>
  <c r="AN24" i="7"/>
  <c r="AJ24" i="7"/>
  <c r="D24" i="7"/>
  <c r="C24" i="7"/>
  <c r="B24" i="7"/>
  <c r="AK24" i="7" s="1"/>
  <c r="A24" i="7"/>
  <c r="AN23" i="7"/>
  <c r="AM23" i="7"/>
  <c r="AL23" i="7"/>
  <c r="AK23" i="7"/>
  <c r="D23" i="7"/>
  <c r="C23" i="7"/>
  <c r="B23" i="7"/>
  <c r="AJ23" i="7" s="1"/>
  <c r="A23" i="7"/>
  <c r="AK22" i="7"/>
  <c r="D22" i="7"/>
  <c r="C22" i="7"/>
  <c r="B22" i="7"/>
  <c r="AN22" i="7" s="1"/>
  <c r="A22" i="7"/>
  <c r="AK21" i="7"/>
  <c r="D21" i="7"/>
  <c r="C21" i="7"/>
  <c r="B21" i="7"/>
  <c r="A21" i="7"/>
  <c r="AL20" i="7"/>
  <c r="D20" i="7"/>
  <c r="C20" i="7"/>
  <c r="B20" i="7"/>
  <c r="AK20" i="7" s="1"/>
  <c r="A20" i="7"/>
  <c r="AN19" i="7"/>
  <c r="D19" i="7"/>
  <c r="C19" i="7"/>
  <c r="B19" i="7"/>
  <c r="AJ19" i="7" s="1"/>
  <c r="A19" i="7"/>
  <c r="AL18" i="7"/>
  <c r="AJ18" i="7"/>
  <c r="D18" i="7"/>
  <c r="C18" i="7"/>
  <c r="B18" i="7"/>
  <c r="AM18" i="7" s="1"/>
  <c r="A18" i="7"/>
  <c r="D17" i="7"/>
  <c r="C17" i="7"/>
  <c r="B17" i="7"/>
  <c r="A17" i="7"/>
  <c r="D16" i="7"/>
  <c r="C16" i="7"/>
  <c r="B16" i="7"/>
  <c r="AK16" i="7" s="1"/>
  <c r="A16" i="7"/>
  <c r="AL15" i="7"/>
  <c r="D15" i="7"/>
  <c r="C15" i="7"/>
  <c r="B15" i="7"/>
  <c r="AJ15" i="7" s="1"/>
  <c r="A15" i="7"/>
  <c r="AN14" i="7"/>
  <c r="AL14" i="7"/>
  <c r="D14" i="7"/>
  <c r="C14" i="7"/>
  <c r="B14" i="7"/>
  <c r="AM14" i="7" s="1"/>
  <c r="A14" i="7"/>
  <c r="D13" i="7"/>
  <c r="C13" i="7"/>
  <c r="B13" i="7"/>
  <c r="AK13" i="7" s="1"/>
  <c r="A13" i="7"/>
  <c r="D12" i="7"/>
  <c r="C12" i="7"/>
  <c r="B12" i="7"/>
  <c r="AK12" i="7" s="1"/>
  <c r="A12" i="7"/>
  <c r="D11" i="7"/>
  <c r="C11" i="7"/>
  <c r="B11" i="7"/>
  <c r="AJ11" i="7" s="1"/>
  <c r="A11" i="7"/>
  <c r="AL10" i="7"/>
  <c r="AK10" i="7"/>
  <c r="D10" i="7"/>
  <c r="C10" i="7"/>
  <c r="B10" i="7"/>
  <c r="AN10" i="7" s="1"/>
  <c r="A10" i="7"/>
  <c r="D9" i="7"/>
  <c r="C9" i="7"/>
  <c r="B9" i="7"/>
  <c r="A9" i="7"/>
  <c r="AL8" i="7"/>
  <c r="D8" i="7"/>
  <c r="C8" i="7"/>
  <c r="B8" i="7"/>
  <c r="AK8" i="7" s="1"/>
  <c r="A8" i="7"/>
  <c r="AN7" i="7"/>
  <c r="D7" i="7"/>
  <c r="C7" i="7"/>
  <c r="B7" i="7"/>
  <c r="AJ7" i="7" s="1"/>
  <c r="A7" i="7"/>
  <c r="AL6" i="7"/>
  <c r="AJ6" i="7"/>
  <c r="D6" i="7"/>
  <c r="C6" i="7"/>
  <c r="B6" i="7"/>
  <c r="AM6" i="7" s="1"/>
  <c r="A6" i="7"/>
  <c r="D5" i="7"/>
  <c r="C5" i="7"/>
  <c r="B5" i="7"/>
  <c r="A5" i="7"/>
  <c r="AI3" i="7"/>
  <c r="AI45" i="7" s="1"/>
  <c r="AH3" i="7"/>
  <c r="AH45" i="7" s="1"/>
  <c r="AG3" i="7"/>
  <c r="AG45" i="7" s="1"/>
  <c r="AF3" i="7"/>
  <c r="AF45" i="7" s="1"/>
  <c r="AE3" i="7"/>
  <c r="AD3" i="7"/>
  <c r="AD45" i="7" s="1"/>
  <c r="AC3" i="7"/>
  <c r="AC45" i="7" s="1"/>
  <c r="AB3" i="7"/>
  <c r="AB45" i="7" s="1"/>
  <c r="AA3" i="7"/>
  <c r="AA45" i="7" s="1"/>
  <c r="Z3" i="7"/>
  <c r="Z45" i="7" s="1"/>
  <c r="Y3" i="7"/>
  <c r="Y45" i="7" s="1"/>
  <c r="X3" i="7"/>
  <c r="X45" i="7" s="1"/>
  <c r="W3" i="7"/>
  <c r="W45" i="7" s="1"/>
  <c r="V3" i="7"/>
  <c r="V45" i="7" s="1"/>
  <c r="U3" i="7"/>
  <c r="U45" i="7" s="1"/>
  <c r="T3" i="7"/>
  <c r="T45" i="7" s="1"/>
  <c r="S3" i="7"/>
  <c r="S45" i="7" s="1"/>
  <c r="R3" i="7"/>
  <c r="R45" i="7" s="1"/>
  <c r="Q3" i="7"/>
  <c r="Q45" i="7" s="1"/>
  <c r="P3" i="7"/>
  <c r="O3" i="7"/>
  <c r="O45" i="7" s="1"/>
  <c r="N3" i="7"/>
  <c r="N45" i="7" s="1"/>
  <c r="M3" i="7"/>
  <c r="M45" i="7" s="1"/>
  <c r="L3" i="7"/>
  <c r="L45" i="7" s="1"/>
  <c r="K3" i="7"/>
  <c r="K45" i="7" s="1"/>
  <c r="J3" i="7"/>
  <c r="J45" i="7" s="1"/>
  <c r="I3" i="7"/>
  <c r="I45" i="7" s="1"/>
  <c r="H3" i="7"/>
  <c r="H45" i="7" s="1"/>
  <c r="G3" i="7"/>
  <c r="G45" i="7" s="1"/>
  <c r="F3" i="7"/>
  <c r="F45" i="7" s="1"/>
  <c r="E3" i="7"/>
  <c r="E45" i="7" s="1"/>
  <c r="A1" i="7"/>
  <c r="AB45" i="6"/>
  <c r="AN44" i="6"/>
  <c r="AK44" i="6"/>
  <c r="D44" i="6"/>
  <c r="C44" i="6"/>
  <c r="B44" i="6"/>
  <c r="AM44" i="6" s="1"/>
  <c r="A44" i="6"/>
  <c r="D43" i="6"/>
  <c r="C43" i="6"/>
  <c r="B43" i="6"/>
  <c r="A43" i="6"/>
  <c r="D42" i="6"/>
  <c r="C42" i="6"/>
  <c r="B42" i="6"/>
  <c r="A42" i="6"/>
  <c r="D41" i="6"/>
  <c r="C41" i="6"/>
  <c r="B41" i="6"/>
  <c r="A41" i="6"/>
  <c r="AN40" i="6"/>
  <c r="AL40" i="6"/>
  <c r="AK40" i="6"/>
  <c r="D40" i="6"/>
  <c r="C40" i="6"/>
  <c r="B40" i="6"/>
  <c r="AM40" i="6" s="1"/>
  <c r="A40" i="6"/>
  <c r="D39" i="6"/>
  <c r="C39" i="6"/>
  <c r="B39" i="6"/>
  <c r="A39" i="6"/>
  <c r="D38" i="6"/>
  <c r="C38" i="6"/>
  <c r="B38" i="6"/>
  <c r="A38" i="6"/>
  <c r="D37" i="6"/>
  <c r="C37" i="6"/>
  <c r="B37" i="6"/>
  <c r="A37" i="6"/>
  <c r="AN36" i="6"/>
  <c r="AM36" i="6"/>
  <c r="AL36" i="6"/>
  <c r="AK36" i="6"/>
  <c r="D36" i="6"/>
  <c r="C36" i="6"/>
  <c r="B36" i="6"/>
  <c r="AJ36" i="6" s="1"/>
  <c r="A36" i="6"/>
  <c r="AM35" i="6"/>
  <c r="D35" i="6"/>
  <c r="C35" i="6"/>
  <c r="B35" i="6"/>
  <c r="AK35" i="6" s="1"/>
  <c r="A35" i="6"/>
  <c r="D34" i="6"/>
  <c r="C34" i="6"/>
  <c r="B34" i="6"/>
  <c r="A34" i="6"/>
  <c r="D33" i="6"/>
  <c r="C33" i="6"/>
  <c r="B33" i="6"/>
  <c r="AN33" i="6" s="1"/>
  <c r="A33" i="6"/>
  <c r="AN32" i="6"/>
  <c r="AM32" i="6"/>
  <c r="AL32" i="6"/>
  <c r="AK32" i="6"/>
  <c r="D32" i="6"/>
  <c r="C32" i="6"/>
  <c r="B32" i="6"/>
  <c r="AJ32" i="6" s="1"/>
  <c r="A32" i="6"/>
  <c r="AJ31" i="6"/>
  <c r="D31" i="6"/>
  <c r="C31" i="6"/>
  <c r="B31" i="6"/>
  <c r="A31" i="6"/>
  <c r="AJ30" i="6"/>
  <c r="D30" i="6"/>
  <c r="C30" i="6"/>
  <c r="B30" i="6"/>
  <c r="AN30" i="6" s="1"/>
  <c r="A30" i="6"/>
  <c r="D29" i="6"/>
  <c r="C29" i="6"/>
  <c r="B29" i="6"/>
  <c r="AN29" i="6" s="1"/>
  <c r="A29" i="6"/>
  <c r="AN28" i="6"/>
  <c r="AM28" i="6"/>
  <c r="AL28" i="6"/>
  <c r="AK28" i="6"/>
  <c r="D28" i="6"/>
  <c r="C28" i="6"/>
  <c r="B28" i="6"/>
  <c r="AJ28" i="6" s="1"/>
  <c r="A28" i="6"/>
  <c r="AM27" i="6"/>
  <c r="AK27" i="6"/>
  <c r="D27" i="6"/>
  <c r="C27" i="6"/>
  <c r="B27" i="6"/>
  <c r="AJ27" i="6" s="1"/>
  <c r="A27" i="6"/>
  <c r="D26" i="6"/>
  <c r="C26" i="6"/>
  <c r="B26" i="6"/>
  <c r="AN26" i="6" s="1"/>
  <c r="A26" i="6"/>
  <c r="AN25" i="6"/>
  <c r="AM25" i="6"/>
  <c r="D25" i="6"/>
  <c r="C25" i="6"/>
  <c r="B25" i="6"/>
  <c r="AK25" i="6" s="1"/>
  <c r="A25" i="6"/>
  <c r="AM24" i="6"/>
  <c r="AL24" i="6"/>
  <c r="D24" i="6"/>
  <c r="C24" i="6"/>
  <c r="B24" i="6"/>
  <c r="AN24" i="6" s="1"/>
  <c r="A24" i="6"/>
  <c r="D23" i="6"/>
  <c r="C23" i="6"/>
  <c r="B23" i="6"/>
  <c r="A23" i="6"/>
  <c r="D22" i="6"/>
  <c r="C22" i="6"/>
  <c r="B22" i="6"/>
  <c r="AN22" i="6" s="1"/>
  <c r="A22" i="6"/>
  <c r="D21" i="6"/>
  <c r="C21" i="6"/>
  <c r="B21" i="6"/>
  <c r="AM21" i="6" s="1"/>
  <c r="A21" i="6"/>
  <c r="AM20" i="6"/>
  <c r="AL20" i="6"/>
  <c r="D20" i="6"/>
  <c r="C20" i="6"/>
  <c r="B20" i="6"/>
  <c r="AN20" i="6" s="1"/>
  <c r="A20" i="6"/>
  <c r="D19" i="6"/>
  <c r="C19" i="6"/>
  <c r="B19" i="6"/>
  <c r="A19" i="6"/>
  <c r="D18" i="6"/>
  <c r="C18" i="6"/>
  <c r="B18" i="6"/>
  <c r="AJ18" i="6" s="1"/>
  <c r="A18" i="6"/>
  <c r="AN17" i="6"/>
  <c r="AM17" i="6"/>
  <c r="D17" i="6"/>
  <c r="C17" i="6"/>
  <c r="B17" i="6"/>
  <c r="AK17" i="6" s="1"/>
  <c r="A17" i="6"/>
  <c r="AM16" i="6"/>
  <c r="AL16" i="6"/>
  <c r="D16" i="6"/>
  <c r="C16" i="6"/>
  <c r="B16" i="6"/>
  <c r="AN16" i="6" s="1"/>
  <c r="A16" i="6"/>
  <c r="AM15" i="6"/>
  <c r="D15" i="6"/>
  <c r="C15" i="6"/>
  <c r="B15" i="6"/>
  <c r="A15" i="6"/>
  <c r="D14" i="6"/>
  <c r="C14" i="6"/>
  <c r="B14" i="6"/>
  <c r="A14" i="6"/>
  <c r="D13" i="6"/>
  <c r="C13" i="6"/>
  <c r="B13" i="6"/>
  <c r="A13" i="6"/>
  <c r="AM12" i="6"/>
  <c r="D12" i="6"/>
  <c r="C12" i="6"/>
  <c r="B12" i="6"/>
  <c r="AN12" i="6" s="1"/>
  <c r="A12" i="6"/>
  <c r="D11" i="6"/>
  <c r="C11" i="6"/>
  <c r="B11" i="6"/>
  <c r="A11" i="6"/>
  <c r="D10" i="6"/>
  <c r="C10" i="6"/>
  <c r="B10" i="6"/>
  <c r="A10" i="6"/>
  <c r="AM9" i="6"/>
  <c r="AK9" i="6"/>
  <c r="D9" i="6"/>
  <c r="C9" i="6"/>
  <c r="B9" i="6"/>
  <c r="AN9" i="6" s="1"/>
  <c r="A9" i="6"/>
  <c r="AM8" i="6"/>
  <c r="D8" i="6"/>
  <c r="C8" i="6"/>
  <c r="B8" i="6"/>
  <c r="AN8" i="6" s="1"/>
  <c r="A8" i="6"/>
  <c r="D7" i="6"/>
  <c r="C7" i="6"/>
  <c r="B7" i="6"/>
  <c r="AM7" i="6" s="1"/>
  <c r="A7" i="6"/>
  <c r="D6" i="6"/>
  <c r="C6" i="6"/>
  <c r="B6" i="6"/>
  <c r="A6" i="6"/>
  <c r="D5" i="6"/>
  <c r="C5" i="6"/>
  <c r="B5" i="6"/>
  <c r="A5" i="6"/>
  <c r="AI3" i="6"/>
  <c r="AI45" i="6" s="1"/>
  <c r="AH3" i="6"/>
  <c r="AH45" i="6" s="1"/>
  <c r="AG3" i="6"/>
  <c r="AG45" i="6" s="1"/>
  <c r="AF3" i="6"/>
  <c r="AF45" i="6" s="1"/>
  <c r="AE3" i="6"/>
  <c r="AE45" i="6" s="1"/>
  <c r="AD3" i="6"/>
  <c r="AD45" i="6" s="1"/>
  <c r="AC3" i="6"/>
  <c r="AC45" i="6" s="1"/>
  <c r="AB3" i="6"/>
  <c r="AA3" i="6"/>
  <c r="AA45" i="6" s="1"/>
  <c r="Z3" i="6"/>
  <c r="Z45" i="6" s="1"/>
  <c r="Y3" i="6"/>
  <c r="Y45" i="6" s="1"/>
  <c r="X3" i="6"/>
  <c r="X45" i="6" s="1"/>
  <c r="W3" i="6"/>
  <c r="W45" i="6" s="1"/>
  <c r="V3" i="6"/>
  <c r="V45" i="6" s="1"/>
  <c r="U3" i="6"/>
  <c r="U45" i="6" s="1"/>
  <c r="T3" i="6"/>
  <c r="T45" i="6" s="1"/>
  <c r="S3" i="6"/>
  <c r="S45" i="6" s="1"/>
  <c r="R3" i="6"/>
  <c r="R45" i="6" s="1"/>
  <c r="Q3" i="6"/>
  <c r="Q45" i="6" s="1"/>
  <c r="P3" i="6"/>
  <c r="P45" i="6" s="1"/>
  <c r="O3" i="6"/>
  <c r="O45" i="6" s="1"/>
  <c r="N3" i="6"/>
  <c r="N45" i="6" s="1"/>
  <c r="M3" i="6"/>
  <c r="M45" i="6" s="1"/>
  <c r="L3" i="6"/>
  <c r="L45" i="6" s="1"/>
  <c r="K3" i="6"/>
  <c r="K45" i="6" s="1"/>
  <c r="J3" i="6"/>
  <c r="J45" i="6" s="1"/>
  <c r="I3" i="6"/>
  <c r="I45" i="6" s="1"/>
  <c r="H3" i="6"/>
  <c r="H45" i="6" s="1"/>
  <c r="G3" i="6"/>
  <c r="G45" i="6" s="1"/>
  <c r="F3" i="6"/>
  <c r="F45" i="6" s="1"/>
  <c r="E3" i="6"/>
  <c r="E45" i="6" s="1"/>
  <c r="A1" i="6"/>
  <c r="AG45" i="5"/>
  <c r="R45" i="5"/>
  <c r="AN44" i="5"/>
  <c r="D44" i="5"/>
  <c r="C44" i="5"/>
  <c r="B44" i="5"/>
  <c r="AM44" i="5" s="1"/>
  <c r="A44" i="5"/>
  <c r="D43" i="5"/>
  <c r="C43" i="5"/>
  <c r="B43" i="5"/>
  <c r="AK43" i="5" s="1"/>
  <c r="A43" i="5"/>
  <c r="AN42" i="5"/>
  <c r="AM42" i="5"/>
  <c r="AJ42" i="5"/>
  <c r="D42" i="5"/>
  <c r="C42" i="5"/>
  <c r="B42" i="5"/>
  <c r="AL42" i="5" s="1"/>
  <c r="A42" i="5"/>
  <c r="AM41" i="5"/>
  <c r="D41" i="5"/>
  <c r="C41" i="5"/>
  <c r="B41" i="5"/>
  <c r="AN41" i="5" s="1"/>
  <c r="A41" i="5"/>
  <c r="D40" i="5"/>
  <c r="C40" i="5"/>
  <c r="B40" i="5"/>
  <c r="AM40" i="5" s="1"/>
  <c r="A40" i="5"/>
  <c r="AM39" i="5"/>
  <c r="D39" i="5"/>
  <c r="C39" i="5"/>
  <c r="B39" i="5"/>
  <c r="A39" i="5"/>
  <c r="AM38" i="5"/>
  <c r="D38" i="5"/>
  <c r="C38" i="5"/>
  <c r="B38" i="5"/>
  <c r="AK38" i="5" s="1"/>
  <c r="A38" i="5"/>
  <c r="D37" i="5"/>
  <c r="C37" i="5"/>
  <c r="B37" i="5"/>
  <c r="AN37" i="5" s="1"/>
  <c r="A37" i="5"/>
  <c r="AN36" i="5"/>
  <c r="D36" i="5"/>
  <c r="C36" i="5"/>
  <c r="B36" i="5"/>
  <c r="AM36" i="5" s="1"/>
  <c r="A36" i="5"/>
  <c r="D35" i="5"/>
  <c r="C35" i="5"/>
  <c r="B35" i="5"/>
  <c r="AM35" i="5" s="1"/>
  <c r="A35" i="5"/>
  <c r="AM34" i="5"/>
  <c r="D34" i="5"/>
  <c r="C34" i="5"/>
  <c r="B34" i="5"/>
  <c r="AK34" i="5" s="1"/>
  <c r="A34" i="5"/>
  <c r="AM33" i="5"/>
  <c r="AL33" i="5"/>
  <c r="D33" i="5"/>
  <c r="C33" i="5"/>
  <c r="B33" i="5"/>
  <c r="AJ33" i="5" s="1"/>
  <c r="A33" i="5"/>
  <c r="D32" i="5"/>
  <c r="C32" i="5"/>
  <c r="B32" i="5"/>
  <c r="AM32" i="5" s="1"/>
  <c r="A32" i="5"/>
  <c r="D31" i="5"/>
  <c r="C31" i="5"/>
  <c r="B31" i="5"/>
  <c r="A31" i="5"/>
  <c r="AM30" i="5"/>
  <c r="D30" i="5"/>
  <c r="C30" i="5"/>
  <c r="B30" i="5"/>
  <c r="AK30" i="5" s="1"/>
  <c r="A30" i="5"/>
  <c r="D29" i="5"/>
  <c r="C29" i="5"/>
  <c r="B29" i="5"/>
  <c r="AN29" i="5" s="1"/>
  <c r="A29" i="5"/>
  <c r="D28" i="5"/>
  <c r="C28" i="5"/>
  <c r="B28" i="5"/>
  <c r="AM28" i="5" s="1"/>
  <c r="A28" i="5"/>
  <c r="AM27" i="5"/>
  <c r="AK27" i="5"/>
  <c r="D27" i="5"/>
  <c r="C27" i="5"/>
  <c r="B27" i="5"/>
  <c r="A27" i="5"/>
  <c r="AN26" i="5"/>
  <c r="AJ26" i="5"/>
  <c r="D26" i="5"/>
  <c r="C26" i="5"/>
  <c r="B26" i="5"/>
  <c r="AK26" i="5" s="1"/>
  <c r="A26" i="5"/>
  <c r="AM25" i="5"/>
  <c r="D25" i="5"/>
  <c r="C25" i="5"/>
  <c r="B25" i="5"/>
  <c r="AL25" i="5" s="1"/>
  <c r="A25" i="5"/>
  <c r="AL24" i="5"/>
  <c r="D24" i="5"/>
  <c r="C24" i="5"/>
  <c r="B24" i="5"/>
  <c r="AM24" i="5" s="1"/>
  <c r="A24" i="5"/>
  <c r="D23" i="5"/>
  <c r="C23" i="5"/>
  <c r="B23" i="5"/>
  <c r="AM23" i="5" s="1"/>
  <c r="A23" i="5"/>
  <c r="D22" i="5"/>
  <c r="C22" i="5"/>
  <c r="B22" i="5"/>
  <c r="AK22" i="5" s="1"/>
  <c r="A22" i="5"/>
  <c r="AN21" i="5"/>
  <c r="AM21" i="5"/>
  <c r="D21" i="5"/>
  <c r="C21" i="5"/>
  <c r="B21" i="5"/>
  <c r="AL21" i="5" s="1"/>
  <c r="A21" i="5"/>
  <c r="D20" i="5"/>
  <c r="C20" i="5"/>
  <c r="B20" i="5"/>
  <c r="AN20" i="5" s="1"/>
  <c r="A20" i="5"/>
  <c r="AN19" i="5"/>
  <c r="D19" i="5"/>
  <c r="C19" i="5"/>
  <c r="B19" i="5"/>
  <c r="AM19" i="5" s="1"/>
  <c r="A19" i="5"/>
  <c r="AN18" i="5"/>
  <c r="AM18" i="5"/>
  <c r="AL18" i="5"/>
  <c r="AK18" i="5"/>
  <c r="D18" i="5"/>
  <c r="C18" i="5"/>
  <c r="B18" i="5"/>
  <c r="AJ18" i="5" s="1"/>
  <c r="A18" i="5"/>
  <c r="AN17" i="5"/>
  <c r="AJ17" i="5"/>
  <c r="D17" i="5"/>
  <c r="C17" i="5"/>
  <c r="B17" i="5"/>
  <c r="AL17" i="5" s="1"/>
  <c r="A17" i="5"/>
  <c r="D16" i="5"/>
  <c r="C16" i="5"/>
  <c r="B16" i="5"/>
  <c r="AN16" i="5" s="1"/>
  <c r="A16" i="5"/>
  <c r="D15" i="5"/>
  <c r="C15" i="5"/>
  <c r="B15" i="5"/>
  <c r="AM15" i="5" s="1"/>
  <c r="A15" i="5"/>
  <c r="D14" i="5"/>
  <c r="C14" i="5"/>
  <c r="B14" i="5"/>
  <c r="AJ14" i="5" s="1"/>
  <c r="A14" i="5"/>
  <c r="AK13" i="5"/>
  <c r="D13" i="5"/>
  <c r="C13" i="5"/>
  <c r="B13" i="5"/>
  <c r="AL13" i="5" s="1"/>
  <c r="A13" i="5"/>
  <c r="D12" i="5"/>
  <c r="C12" i="5"/>
  <c r="B12" i="5"/>
  <c r="AN12" i="5" s="1"/>
  <c r="A12" i="5"/>
  <c r="D11" i="5"/>
  <c r="C11" i="5"/>
  <c r="B11" i="5"/>
  <c r="AM11" i="5" s="1"/>
  <c r="A11" i="5"/>
  <c r="AK10" i="5"/>
  <c r="D10" i="5"/>
  <c r="C10" i="5"/>
  <c r="B10" i="5"/>
  <c r="AJ10" i="5" s="1"/>
  <c r="A10" i="5"/>
  <c r="AM9" i="5"/>
  <c r="D9" i="5"/>
  <c r="C9" i="5"/>
  <c r="B9" i="5"/>
  <c r="AL9" i="5" s="1"/>
  <c r="A9" i="5"/>
  <c r="D8" i="5"/>
  <c r="C8" i="5"/>
  <c r="B8" i="5"/>
  <c r="AN8" i="5" s="1"/>
  <c r="A8" i="5"/>
  <c r="D7" i="5"/>
  <c r="C7" i="5"/>
  <c r="B7" i="5"/>
  <c r="AM7" i="5" s="1"/>
  <c r="A7" i="5"/>
  <c r="AN6" i="5"/>
  <c r="AM6" i="5"/>
  <c r="AL6" i="5"/>
  <c r="D6" i="5"/>
  <c r="C6" i="5"/>
  <c r="B6" i="5"/>
  <c r="AJ6" i="5" s="1"/>
  <c r="A6" i="5"/>
  <c r="AM5" i="5"/>
  <c r="D5" i="5"/>
  <c r="C5" i="5"/>
  <c r="B5" i="5"/>
  <c r="A5" i="5"/>
  <c r="AI3" i="5"/>
  <c r="AI45" i="5" s="1"/>
  <c r="AH3" i="5"/>
  <c r="AH45" i="5" s="1"/>
  <c r="AG3" i="5"/>
  <c r="AF3" i="5"/>
  <c r="AF45" i="5" s="1"/>
  <c r="AE3" i="5"/>
  <c r="AE45" i="5" s="1"/>
  <c r="AD3" i="5"/>
  <c r="AD45" i="5" s="1"/>
  <c r="AC3" i="5"/>
  <c r="AC45" i="5" s="1"/>
  <c r="AB3" i="5"/>
  <c r="AB45" i="5" s="1"/>
  <c r="AA3" i="5"/>
  <c r="AA45" i="5" s="1"/>
  <c r="Z3" i="5"/>
  <c r="Z45" i="5" s="1"/>
  <c r="Y3" i="5"/>
  <c r="Y45" i="5" s="1"/>
  <c r="X3" i="5"/>
  <c r="X45" i="5" s="1"/>
  <c r="W3" i="5"/>
  <c r="W45" i="5" s="1"/>
  <c r="V3" i="5"/>
  <c r="V45" i="5" s="1"/>
  <c r="U3" i="5"/>
  <c r="U45" i="5" s="1"/>
  <c r="T3" i="5"/>
  <c r="T45" i="5" s="1"/>
  <c r="S3" i="5"/>
  <c r="S45" i="5" s="1"/>
  <c r="R3" i="5"/>
  <c r="Q3" i="5"/>
  <c r="Q45" i="5" s="1"/>
  <c r="P3" i="5"/>
  <c r="P45" i="5" s="1"/>
  <c r="O3" i="5"/>
  <c r="O45" i="5" s="1"/>
  <c r="N3" i="5"/>
  <c r="N45" i="5" s="1"/>
  <c r="M3" i="5"/>
  <c r="M45" i="5" s="1"/>
  <c r="L3" i="5"/>
  <c r="L45" i="5" s="1"/>
  <c r="K3" i="5"/>
  <c r="K45" i="5" s="1"/>
  <c r="J3" i="5"/>
  <c r="J45" i="5" s="1"/>
  <c r="I3" i="5"/>
  <c r="I45" i="5" s="1"/>
  <c r="H3" i="5"/>
  <c r="H45" i="5" s="1"/>
  <c r="G3" i="5"/>
  <c r="G45" i="5" s="1"/>
  <c r="F3" i="5"/>
  <c r="F45" i="5" s="1"/>
  <c r="E3" i="5"/>
  <c r="E45" i="5" s="1"/>
  <c r="A1" i="5"/>
  <c r="AD45" i="4"/>
  <c r="AB45" i="4"/>
  <c r="Q45" i="4"/>
  <c r="F45" i="4"/>
  <c r="D44" i="4"/>
  <c r="C44" i="4"/>
  <c r="B44" i="4"/>
  <c r="AL44" i="4" s="1"/>
  <c r="A44" i="4"/>
  <c r="AJ43" i="4"/>
  <c r="D43" i="4"/>
  <c r="C43" i="4"/>
  <c r="B43" i="4"/>
  <c r="AM43" i="4" s="1"/>
  <c r="A43" i="4"/>
  <c r="D42" i="4"/>
  <c r="C42" i="4"/>
  <c r="B42" i="4"/>
  <c r="AM42" i="4" s="1"/>
  <c r="A42" i="4"/>
  <c r="D41" i="4"/>
  <c r="C41" i="4"/>
  <c r="B41" i="4"/>
  <c r="AN41" i="4" s="1"/>
  <c r="A41" i="4"/>
  <c r="AM40" i="4"/>
  <c r="D40" i="4"/>
  <c r="C40" i="4"/>
  <c r="B40" i="4"/>
  <c r="AL40" i="4" s="1"/>
  <c r="A40" i="4"/>
  <c r="D39" i="4"/>
  <c r="C39" i="4"/>
  <c r="B39" i="4"/>
  <c r="AL39" i="4" s="1"/>
  <c r="A39" i="4"/>
  <c r="D38" i="4"/>
  <c r="C38" i="4"/>
  <c r="B38" i="4"/>
  <c r="AM38" i="4" s="1"/>
  <c r="A38" i="4"/>
  <c r="D37" i="4"/>
  <c r="C37" i="4"/>
  <c r="B37" i="4"/>
  <c r="AN37" i="4" s="1"/>
  <c r="A37" i="4"/>
  <c r="AN36" i="4"/>
  <c r="D36" i="4"/>
  <c r="C36" i="4"/>
  <c r="B36" i="4"/>
  <c r="AL36" i="4" s="1"/>
  <c r="A36" i="4"/>
  <c r="AN35" i="4"/>
  <c r="AM35" i="4"/>
  <c r="AL35" i="4"/>
  <c r="AK35" i="4"/>
  <c r="AJ35" i="4"/>
  <c r="D35" i="4"/>
  <c r="C35" i="4"/>
  <c r="B35" i="4"/>
  <c r="A35" i="4"/>
  <c r="D34" i="4"/>
  <c r="C34" i="4"/>
  <c r="B34" i="4"/>
  <c r="AM34" i="4" s="1"/>
  <c r="A34" i="4"/>
  <c r="D33" i="4"/>
  <c r="C33" i="4"/>
  <c r="B33" i="4"/>
  <c r="AN33" i="4" s="1"/>
  <c r="A33" i="4"/>
  <c r="AM32" i="4"/>
  <c r="D32" i="4"/>
  <c r="C32" i="4"/>
  <c r="B32" i="4"/>
  <c r="AL32" i="4" s="1"/>
  <c r="A32" i="4"/>
  <c r="D31" i="4"/>
  <c r="C31" i="4"/>
  <c r="B31" i="4"/>
  <c r="AJ31" i="4" s="1"/>
  <c r="A31" i="4"/>
  <c r="D30" i="4"/>
  <c r="C30" i="4"/>
  <c r="B30" i="4"/>
  <c r="AM30" i="4" s="1"/>
  <c r="A30" i="4"/>
  <c r="D29" i="4"/>
  <c r="C29" i="4"/>
  <c r="B29" i="4"/>
  <c r="AN29" i="4" s="1"/>
  <c r="A29" i="4"/>
  <c r="D28" i="4"/>
  <c r="C28" i="4"/>
  <c r="B28" i="4"/>
  <c r="AL28" i="4" s="1"/>
  <c r="A28" i="4"/>
  <c r="AL27" i="4"/>
  <c r="AK27" i="4"/>
  <c r="D27" i="4"/>
  <c r="C27" i="4"/>
  <c r="B27" i="4"/>
  <c r="AN27" i="4" s="1"/>
  <c r="A27" i="4"/>
  <c r="D26" i="4"/>
  <c r="C26" i="4"/>
  <c r="B26" i="4"/>
  <c r="AL26" i="4" s="1"/>
  <c r="A26" i="4"/>
  <c r="D25" i="4"/>
  <c r="C25" i="4"/>
  <c r="B25" i="4"/>
  <c r="AN25" i="4" s="1"/>
  <c r="A25" i="4"/>
  <c r="AN24" i="4"/>
  <c r="AM24" i="4"/>
  <c r="D24" i="4"/>
  <c r="C24" i="4"/>
  <c r="B24" i="4"/>
  <c r="AL24" i="4" s="1"/>
  <c r="A24" i="4"/>
  <c r="AN23" i="4"/>
  <c r="AK23" i="4"/>
  <c r="D23" i="4"/>
  <c r="C23" i="4"/>
  <c r="B23" i="4"/>
  <c r="AM23" i="4" s="1"/>
  <c r="A23" i="4"/>
  <c r="D22" i="4"/>
  <c r="C22" i="4"/>
  <c r="B22" i="4"/>
  <c r="AN22" i="4" s="1"/>
  <c r="A22" i="4"/>
  <c r="D21" i="4"/>
  <c r="C21" i="4"/>
  <c r="B21" i="4"/>
  <c r="AN21" i="4" s="1"/>
  <c r="A21" i="4"/>
  <c r="D20" i="4"/>
  <c r="C20" i="4"/>
  <c r="B20" i="4"/>
  <c r="AL20" i="4" s="1"/>
  <c r="A20" i="4"/>
  <c r="AN19" i="4"/>
  <c r="AM19" i="4"/>
  <c r="AJ19" i="4"/>
  <c r="D19" i="4"/>
  <c r="C19" i="4"/>
  <c r="B19" i="4"/>
  <c r="AL19" i="4" s="1"/>
  <c r="A19" i="4"/>
  <c r="D18" i="4"/>
  <c r="C18" i="4"/>
  <c r="B18" i="4"/>
  <c r="AM18" i="4" s="1"/>
  <c r="A18" i="4"/>
  <c r="D17" i="4"/>
  <c r="C17" i="4"/>
  <c r="B17" i="4"/>
  <c r="AN17" i="4" s="1"/>
  <c r="A17" i="4"/>
  <c r="AN16" i="4"/>
  <c r="D16" i="4"/>
  <c r="C16" i="4"/>
  <c r="B16" i="4"/>
  <c r="AL16" i="4" s="1"/>
  <c r="A16" i="4"/>
  <c r="AM15" i="4"/>
  <c r="AL15" i="4"/>
  <c r="AK15" i="4"/>
  <c r="AJ15" i="4"/>
  <c r="D15" i="4"/>
  <c r="C15" i="4"/>
  <c r="B15" i="4"/>
  <c r="AN15" i="4" s="1"/>
  <c r="A15" i="4"/>
  <c r="D14" i="4"/>
  <c r="C14" i="4"/>
  <c r="B14" i="4"/>
  <c r="AM14" i="4" s="1"/>
  <c r="A14" i="4"/>
  <c r="D13" i="4"/>
  <c r="C13" i="4"/>
  <c r="B13" i="4"/>
  <c r="AN13" i="4" s="1"/>
  <c r="A13" i="4"/>
  <c r="AN12" i="4"/>
  <c r="AM12" i="4"/>
  <c r="D12" i="4"/>
  <c r="C12" i="4"/>
  <c r="B12" i="4"/>
  <c r="AL12" i="4" s="1"/>
  <c r="A12" i="4"/>
  <c r="AN11" i="4"/>
  <c r="AL11" i="4"/>
  <c r="AK11" i="4"/>
  <c r="D11" i="4"/>
  <c r="C11" i="4"/>
  <c r="B11" i="4"/>
  <c r="AM11" i="4" s="1"/>
  <c r="A11" i="4"/>
  <c r="D10" i="4"/>
  <c r="C10" i="4"/>
  <c r="B10" i="4"/>
  <c r="AL10" i="4" s="1"/>
  <c r="A10" i="4"/>
  <c r="D9" i="4"/>
  <c r="C9" i="4"/>
  <c r="B9" i="4"/>
  <c r="AN9" i="4" s="1"/>
  <c r="A9" i="4"/>
  <c r="AM8" i="4"/>
  <c r="D8" i="4"/>
  <c r="C8" i="4"/>
  <c r="B8" i="4"/>
  <c r="AL8" i="4" s="1"/>
  <c r="A8" i="4"/>
  <c r="AM7" i="4"/>
  <c r="D7" i="4"/>
  <c r="C7" i="4"/>
  <c r="B7" i="4"/>
  <c r="AN7" i="4" s="1"/>
  <c r="A7" i="4"/>
  <c r="D6" i="4"/>
  <c r="C6" i="4"/>
  <c r="B6" i="4"/>
  <c r="AM6" i="4" s="1"/>
  <c r="A6" i="4"/>
  <c r="D5" i="4"/>
  <c r="C5" i="4"/>
  <c r="B5" i="4"/>
  <c r="A5" i="4"/>
  <c r="AI3" i="4"/>
  <c r="AI45" i="4" s="1"/>
  <c r="AH3" i="4"/>
  <c r="AH45" i="4" s="1"/>
  <c r="AG3" i="4"/>
  <c r="AG45" i="4" s="1"/>
  <c r="AF3" i="4"/>
  <c r="AF45" i="4" s="1"/>
  <c r="AE3" i="4"/>
  <c r="AE45" i="4" s="1"/>
  <c r="AD3" i="4"/>
  <c r="AC3" i="4"/>
  <c r="AC45" i="4" s="1"/>
  <c r="AB3" i="4"/>
  <c r="AA3" i="4"/>
  <c r="AA45" i="4" s="1"/>
  <c r="Z3" i="4"/>
  <c r="Z45" i="4" s="1"/>
  <c r="Y3" i="4"/>
  <c r="Y45" i="4" s="1"/>
  <c r="X3" i="4"/>
  <c r="X45" i="4" s="1"/>
  <c r="W3" i="4"/>
  <c r="W45" i="4" s="1"/>
  <c r="V3" i="4"/>
  <c r="V45" i="4" s="1"/>
  <c r="U3" i="4"/>
  <c r="U45" i="4" s="1"/>
  <c r="T3" i="4"/>
  <c r="T45" i="4" s="1"/>
  <c r="S3" i="4"/>
  <c r="S45" i="4" s="1"/>
  <c r="R3" i="4"/>
  <c r="R45" i="4" s="1"/>
  <c r="Q3" i="4"/>
  <c r="P3" i="4"/>
  <c r="P45" i="4" s="1"/>
  <c r="O3" i="4"/>
  <c r="O45" i="4" s="1"/>
  <c r="N3" i="4"/>
  <c r="N45" i="4" s="1"/>
  <c r="M3" i="4"/>
  <c r="M45" i="4" s="1"/>
  <c r="L3" i="4"/>
  <c r="L45" i="4" s="1"/>
  <c r="K3" i="4"/>
  <c r="K45" i="4" s="1"/>
  <c r="J3" i="4"/>
  <c r="J45" i="4" s="1"/>
  <c r="I3" i="4"/>
  <c r="I45" i="4" s="1"/>
  <c r="H3" i="4"/>
  <c r="H45" i="4" s="1"/>
  <c r="G3" i="4"/>
  <c r="G45" i="4" s="1"/>
  <c r="F3" i="4"/>
  <c r="E3" i="4"/>
  <c r="E45" i="4" s="1"/>
  <c r="A1" i="4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A8" i="3"/>
  <c r="A7" i="3"/>
  <c r="A6" i="3"/>
  <c r="A5" i="3"/>
  <c r="AN28" i="4" l="1"/>
  <c r="AM16" i="4"/>
  <c r="AN20" i="4"/>
  <c r="AJ27" i="4"/>
  <c r="AK31" i="4"/>
  <c r="AM39" i="4"/>
  <c r="AN43" i="4"/>
  <c r="AJ9" i="5"/>
  <c r="AN14" i="5"/>
  <c r="AL22" i="5"/>
  <c r="AJ24" i="5"/>
  <c r="AJ30" i="5"/>
  <c r="AJ34" i="5"/>
  <c r="AK36" i="5"/>
  <c r="AJ38" i="5"/>
  <c r="AM43" i="5"/>
  <c r="AN6" i="7"/>
  <c r="AJ10" i="7"/>
  <c r="AN11" i="7"/>
  <c r="AN18" i="7"/>
  <c r="AM30" i="7"/>
  <c r="AM42" i="7"/>
  <c r="AL7" i="8"/>
  <c r="AM7" i="8"/>
  <c r="AJ25" i="9"/>
  <c r="AM25" i="9"/>
  <c r="AK25" i="9"/>
  <c r="AJ26" i="12"/>
  <c r="AM26" i="12"/>
  <c r="AL26" i="12"/>
  <c r="AK26" i="12"/>
  <c r="AN26" i="12"/>
  <c r="AJ23" i="4"/>
  <c r="AL31" i="4"/>
  <c r="AN39" i="4"/>
  <c r="AK9" i="5"/>
  <c r="AJ13" i="5"/>
  <c r="AM22" i="5"/>
  <c r="AK24" i="5"/>
  <c r="AL30" i="5"/>
  <c r="AL34" i="5"/>
  <c r="AL36" i="5"/>
  <c r="AL38" i="5"/>
  <c r="AJ44" i="6"/>
  <c r="AJ8" i="7"/>
  <c r="AK15" i="7"/>
  <c r="AJ20" i="7"/>
  <c r="AJ22" i="7"/>
  <c r="AN30" i="7"/>
  <c r="AN42" i="7"/>
  <c r="AL10" i="8"/>
  <c r="AJ10" i="8"/>
  <c r="AM10" i="8"/>
  <c r="AN29" i="8"/>
  <c r="AK29" i="8"/>
  <c r="AN10" i="11"/>
  <c r="AL10" i="11"/>
  <c r="AK10" i="11"/>
  <c r="AJ10" i="11"/>
  <c r="AM10" i="11"/>
  <c r="AM31" i="4"/>
  <c r="AN22" i="5"/>
  <c r="AM12" i="9"/>
  <c r="AJ12" i="9"/>
  <c r="AL39" i="9"/>
  <c r="AN39" i="9"/>
  <c r="AL42" i="13"/>
  <c r="AK42" i="13"/>
  <c r="AJ42" i="13"/>
  <c r="AN42" i="13"/>
  <c r="AM42" i="13"/>
  <c r="AN8" i="4"/>
  <c r="AK19" i="4"/>
  <c r="AL23" i="4"/>
  <c r="AM27" i="4"/>
  <c r="AN31" i="4"/>
  <c r="AN7" i="5"/>
  <c r="AN9" i="5"/>
  <c r="AM13" i="5"/>
  <c r="AK17" i="5"/>
  <c r="AJ21" i="5"/>
  <c r="AN24" i="5"/>
  <c r="AL26" i="5"/>
  <c r="AN30" i="5"/>
  <c r="AN34" i="5"/>
  <c r="AN38" i="5"/>
  <c r="AK42" i="5"/>
  <c r="AJ16" i="6"/>
  <c r="AJ20" i="6"/>
  <c r="AJ24" i="6"/>
  <c r="AL44" i="6"/>
  <c r="AN8" i="7"/>
  <c r="AM10" i="7"/>
  <c r="AM15" i="7"/>
  <c r="AN20" i="7"/>
  <c r="AL22" i="7"/>
  <c r="AL34" i="7"/>
  <c r="AJ11" i="4"/>
  <c r="AN11" i="5"/>
  <c r="AN13" i="5"/>
  <c r="AM17" i="5"/>
  <c r="AK21" i="5"/>
  <c r="AM26" i="5"/>
  <c r="AK33" i="5"/>
  <c r="AK16" i="6"/>
  <c r="AK20" i="6"/>
  <c r="AK24" i="6"/>
  <c r="AJ40" i="6"/>
  <c r="AJ14" i="7"/>
  <c r="AN15" i="7"/>
  <c r="AM22" i="7"/>
  <c r="AM27" i="7"/>
  <c r="AN32" i="7"/>
  <c r="AK10" i="8"/>
  <c r="AN18" i="8"/>
  <c r="AL18" i="8"/>
  <c r="AJ18" i="8"/>
  <c r="AM31" i="8"/>
  <c r="AJ7" i="4"/>
  <c r="AM44" i="4"/>
  <c r="AN15" i="5"/>
  <c r="AJ41" i="5"/>
  <c r="AJ44" i="5"/>
  <c r="AJ8" i="6"/>
  <c r="AJ12" i="6"/>
  <c r="AJ22" i="6"/>
  <c r="AK7" i="7"/>
  <c r="AJ12" i="7"/>
  <c r="AK14" i="7"/>
  <c r="AK19" i="7"/>
  <c r="AJ26" i="7"/>
  <c r="AJ38" i="7"/>
  <c r="AN10" i="8"/>
  <c r="AM15" i="8"/>
  <c r="AK12" i="9"/>
  <c r="AJ39" i="9"/>
  <c r="AK7" i="4"/>
  <c r="AN44" i="4"/>
  <c r="AK41" i="5"/>
  <c r="AK44" i="5"/>
  <c r="AK8" i="6"/>
  <c r="AK12" i="6"/>
  <c r="AL7" i="7"/>
  <c r="AL12" i="7"/>
  <c r="AL19" i="7"/>
  <c r="AK26" i="7"/>
  <c r="AK38" i="7"/>
  <c r="AK6" i="8"/>
  <c r="AJ6" i="8"/>
  <c r="AL6" i="8"/>
  <c r="AL7" i="4"/>
  <c r="AM36" i="4"/>
  <c r="AN40" i="4"/>
  <c r="AK6" i="5"/>
  <c r="AN33" i="5"/>
  <c r="AJ37" i="5"/>
  <c r="AL41" i="5"/>
  <c r="AL44" i="5"/>
  <c r="AL8" i="6"/>
  <c r="AL12" i="6"/>
  <c r="AM7" i="7"/>
  <c r="AN12" i="7"/>
  <c r="AM19" i="7"/>
  <c r="AL24" i="7"/>
  <c r="AL26" i="7"/>
  <c r="AL31" i="7"/>
  <c r="AL36" i="7"/>
  <c r="AL38" i="7"/>
  <c r="AL43" i="7"/>
  <c r="AK18" i="8"/>
  <c r="AK41" i="8"/>
  <c r="AN12" i="9"/>
  <c r="AN20" i="10"/>
  <c r="AK20" i="10"/>
  <c r="AM23" i="10"/>
  <c r="AL23" i="10"/>
  <c r="AK23" i="10"/>
  <c r="AJ23" i="10"/>
  <c r="AN23" i="10"/>
  <c r="AM31" i="10"/>
  <c r="AL31" i="10"/>
  <c r="AK31" i="10"/>
  <c r="AJ31" i="10"/>
  <c r="AN31" i="10"/>
  <c r="AM43" i="10"/>
  <c r="AN43" i="10"/>
  <c r="AK43" i="10"/>
  <c r="AJ43" i="10"/>
  <c r="AL23" i="11"/>
  <c r="AK23" i="11"/>
  <c r="AJ23" i="11"/>
  <c r="AN23" i="11"/>
  <c r="AM23" i="11"/>
  <c r="AM14" i="8"/>
  <c r="AK14" i="8"/>
  <c r="AN14" i="8"/>
  <c r="AN37" i="8"/>
  <c r="AK37" i="8"/>
  <c r="AL39" i="8"/>
  <c r="AM39" i="8"/>
  <c r="AN28" i="12"/>
  <c r="AJ28" i="12"/>
  <c r="AM28" i="4"/>
  <c r="AN32" i="4"/>
  <c r="AJ39" i="4"/>
  <c r="AK43" i="4"/>
  <c r="AL10" i="5"/>
  <c r="AK14" i="5"/>
  <c r="AN25" i="5"/>
  <c r="AK6" i="7"/>
  <c r="AK11" i="7"/>
  <c r="AJ16" i="7"/>
  <c r="AK18" i="7"/>
  <c r="AJ30" i="7"/>
  <c r="AJ42" i="7"/>
  <c r="AM6" i="8"/>
  <c r="AN26" i="8"/>
  <c r="AL26" i="8"/>
  <c r="AK30" i="8"/>
  <c r="AL42" i="8"/>
  <c r="AK42" i="8"/>
  <c r="AJ13" i="9"/>
  <c r="AN13" i="9"/>
  <c r="AM13" i="9"/>
  <c r="AL32" i="9"/>
  <c r="AJ32" i="9"/>
  <c r="AM32" i="9"/>
  <c r="AM6" i="10"/>
  <c r="AK6" i="10"/>
  <c r="AK39" i="4"/>
  <c r="AM10" i="5"/>
  <c r="AL14" i="5"/>
  <c r="AL11" i="7"/>
  <c r="AL16" i="7"/>
  <c r="AK30" i="7"/>
  <c r="AK42" i="7"/>
  <c r="AN6" i="8"/>
  <c r="AL30" i="8"/>
  <c r="AK41" i="10"/>
  <c r="AN41" i="10"/>
  <c r="AL41" i="10"/>
  <c r="AJ41" i="10"/>
  <c r="AL43" i="10"/>
  <c r="AL43" i="4"/>
  <c r="AM20" i="4"/>
  <c r="AN10" i="5"/>
  <c r="AM14" i="5"/>
  <c r="AJ22" i="5"/>
  <c r="AM11" i="7"/>
  <c r="AN16" i="7"/>
  <c r="AK44" i="7"/>
  <c r="AL44" i="7"/>
  <c r="AK9" i="8"/>
  <c r="AJ14" i="8"/>
  <c r="AN30" i="8"/>
  <c r="AM18" i="9"/>
  <c r="AN18" i="9"/>
  <c r="AK9" i="10"/>
  <c r="AM9" i="10"/>
  <c r="AJ9" i="10"/>
  <c r="AN9" i="10"/>
  <c r="AK21" i="10"/>
  <c r="AM21" i="10"/>
  <c r="AL21" i="10"/>
  <c r="AJ21" i="10"/>
  <c r="AN21" i="10"/>
  <c r="AK29" i="10"/>
  <c r="AM29" i="10"/>
  <c r="AL29" i="10"/>
  <c r="AJ29" i="10"/>
  <c r="AN29" i="10"/>
  <c r="AN28" i="9"/>
  <c r="AN37" i="9"/>
  <c r="AK41" i="9"/>
  <c r="AM13" i="10"/>
  <c r="AL15" i="10"/>
  <c r="AL17" i="10"/>
  <c r="AL25" i="10"/>
  <c r="AL37" i="10"/>
  <c r="AL14" i="11"/>
  <c r="AK18" i="11"/>
  <c r="AJ27" i="11"/>
  <c r="AK42" i="11"/>
  <c r="AL10" i="12"/>
  <c r="AL12" i="12"/>
  <c r="AN17" i="12"/>
  <c r="AL30" i="12"/>
  <c r="AN41" i="12"/>
  <c r="AL16" i="13"/>
  <c r="AM21" i="13"/>
  <c r="AM37" i="13"/>
  <c r="AJ44" i="13"/>
  <c r="AN24" i="14"/>
  <c r="AK6" i="15"/>
  <c r="AL15" i="15"/>
  <c r="AM17" i="15"/>
  <c r="AJ21" i="15"/>
  <c r="AM26" i="15"/>
  <c r="AK30" i="15"/>
  <c r="AL39" i="15"/>
  <c r="AM41" i="15"/>
  <c r="S12" i="17"/>
  <c r="P13" i="17"/>
  <c r="O14" i="17"/>
  <c r="P16" i="17"/>
  <c r="M17" i="17"/>
  <c r="M18" i="17"/>
  <c r="X19" i="17"/>
  <c r="L23" i="17"/>
  <c r="I24" i="17"/>
  <c r="G25" i="17"/>
  <c r="F27" i="17"/>
  <c r="P30" i="17"/>
  <c r="M33" i="17"/>
  <c r="J34" i="17"/>
  <c r="L35" i="17"/>
  <c r="AA36" i="17"/>
  <c r="I42" i="17"/>
  <c r="V12" i="17"/>
  <c r="AK5" i="9"/>
  <c r="AM41" i="9"/>
  <c r="AN17" i="10"/>
  <c r="AN25" i="10"/>
  <c r="AL33" i="10"/>
  <c r="AN35" i="10"/>
  <c r="AN37" i="10"/>
  <c r="AM18" i="11"/>
  <c r="AK22" i="11"/>
  <c r="AK31" i="11"/>
  <c r="AM42" i="11"/>
  <c r="AN10" i="12"/>
  <c r="AL34" i="12"/>
  <c r="AJ8" i="13"/>
  <c r="AK20" i="13"/>
  <c r="AL25" i="13"/>
  <c r="AK27" i="13"/>
  <c r="AK36" i="13"/>
  <c r="AL41" i="13"/>
  <c r="AK28" i="14"/>
  <c r="AN33" i="14"/>
  <c r="AL42" i="14"/>
  <c r="AK44" i="14"/>
  <c r="AK10" i="15"/>
  <c r="AK34" i="15"/>
  <c r="D7" i="17"/>
  <c r="C12" i="17"/>
  <c r="W12" i="17"/>
  <c r="V16" i="17"/>
  <c r="R25" i="17"/>
  <c r="J27" i="17"/>
  <c r="M37" i="17"/>
  <c r="C40" i="17"/>
  <c r="AK13" i="8"/>
  <c r="AM23" i="8"/>
  <c r="AJ8" i="9"/>
  <c r="AM17" i="9"/>
  <c r="AK21" i="9"/>
  <c r="AM36" i="9"/>
  <c r="AN41" i="9"/>
  <c r="AJ8" i="10"/>
  <c r="AL12" i="10"/>
  <c r="AM33" i="10"/>
  <c r="AL22" i="11"/>
  <c r="AL31" i="11"/>
  <c r="AL14" i="12"/>
  <c r="AL16" i="12"/>
  <c r="AK29" i="12"/>
  <c r="AM34" i="12"/>
  <c r="AK38" i="12"/>
  <c r="AJ40" i="12"/>
  <c r="AJ13" i="13"/>
  <c r="AJ15" i="13"/>
  <c r="AL20" i="13"/>
  <c r="AM25" i="13"/>
  <c r="AL36" i="13"/>
  <c r="AM41" i="13"/>
  <c r="AN44" i="13"/>
  <c r="AN8" i="14"/>
  <c r="AL10" i="14"/>
  <c r="AN21" i="14"/>
  <c r="AK23" i="14"/>
  <c r="AL28" i="14"/>
  <c r="AJ30" i="14"/>
  <c r="AM35" i="14"/>
  <c r="AM42" i="14"/>
  <c r="AL44" i="14"/>
  <c r="AM5" i="15"/>
  <c r="AN6" i="15"/>
  <c r="AL10" i="15"/>
  <c r="AK25" i="15"/>
  <c r="AN30" i="15"/>
  <c r="AL34" i="15"/>
  <c r="I7" i="17"/>
  <c r="G9" i="17"/>
  <c r="X9" i="17"/>
  <c r="AA10" i="17"/>
  <c r="D12" i="17"/>
  <c r="X12" i="17"/>
  <c r="U13" i="17"/>
  <c r="Y14" i="17"/>
  <c r="C16" i="17"/>
  <c r="W16" i="17"/>
  <c r="S17" i="17"/>
  <c r="V18" i="17"/>
  <c r="J20" i="17"/>
  <c r="I22" i="17"/>
  <c r="P23" i="17"/>
  <c r="M24" i="17"/>
  <c r="S25" i="17"/>
  <c r="L27" i="17"/>
  <c r="F29" i="17"/>
  <c r="T33" i="17"/>
  <c r="Q34" i="17"/>
  <c r="P35" i="17"/>
  <c r="X37" i="17"/>
  <c r="U38" i="17"/>
  <c r="D40" i="17"/>
  <c r="L41" i="17"/>
  <c r="P42" i="17"/>
  <c r="K44" i="17"/>
  <c r="AN33" i="10"/>
  <c r="AM22" i="11"/>
  <c r="AJ26" i="11"/>
  <c r="AM31" i="11"/>
  <c r="AJ39" i="11"/>
  <c r="AM14" i="12"/>
  <c r="AJ33" i="12"/>
  <c r="AN34" i="12"/>
  <c r="AM20" i="13"/>
  <c r="AJ24" i="13"/>
  <c r="AN25" i="13"/>
  <c r="AJ29" i="13"/>
  <c r="AJ31" i="13"/>
  <c r="AM36" i="13"/>
  <c r="AJ40" i="13"/>
  <c r="AN41" i="13"/>
  <c r="AJ12" i="14"/>
  <c r="AJ14" i="14"/>
  <c r="AN28" i="14"/>
  <c r="AL37" i="14"/>
  <c r="AN44" i="14"/>
  <c r="AM10" i="15"/>
  <c r="AL23" i="15"/>
  <c r="AM25" i="15"/>
  <c r="AJ29" i="15"/>
  <c r="AM34" i="15"/>
  <c r="P7" i="17"/>
  <c r="G12" i="17"/>
  <c r="Y12" i="17"/>
  <c r="V13" i="17"/>
  <c r="AA14" i="17"/>
  <c r="D16" i="17"/>
  <c r="X16" i="17"/>
  <c r="U17" i="17"/>
  <c r="Y18" i="17"/>
  <c r="Q22" i="17"/>
  <c r="R23" i="17"/>
  <c r="O24" i="17"/>
  <c r="T25" i="17"/>
  <c r="M27" i="17"/>
  <c r="M29" i="17"/>
  <c r="V33" i="17"/>
  <c r="S34" i="17"/>
  <c r="R35" i="17"/>
  <c r="V38" i="17"/>
  <c r="K40" i="17"/>
  <c r="M41" i="17"/>
  <c r="Q42" i="17"/>
  <c r="P44" i="17"/>
  <c r="AK26" i="11"/>
  <c r="AK39" i="11"/>
  <c r="AK33" i="12"/>
  <c r="AK24" i="13"/>
  <c r="AL29" i="13"/>
  <c r="AK31" i="13"/>
  <c r="AK40" i="13"/>
  <c r="AK12" i="14"/>
  <c r="AL14" i="14"/>
  <c r="AL30" i="14"/>
  <c r="AJ32" i="14"/>
  <c r="AN37" i="14"/>
  <c r="AK39" i="14"/>
  <c r="AJ16" i="15"/>
  <c r="AJ18" i="15"/>
  <c r="AK29" i="15"/>
  <c r="AJ40" i="15"/>
  <c r="AJ42" i="15"/>
  <c r="U7" i="17"/>
  <c r="C11" i="17"/>
  <c r="I12" i="17"/>
  <c r="AA12" i="17"/>
  <c r="Y13" i="17"/>
  <c r="G16" i="17"/>
  <c r="Y16" i="17"/>
  <c r="V17" i="17"/>
  <c r="AA18" i="17"/>
  <c r="D21" i="17"/>
  <c r="S22" i="17"/>
  <c r="S23" i="17"/>
  <c r="P24" i="17"/>
  <c r="Y25" i="17"/>
  <c r="N27" i="17"/>
  <c r="Y29" i="17"/>
  <c r="I32" i="17"/>
  <c r="X33" i="17"/>
  <c r="U34" i="17"/>
  <c r="S35" i="17"/>
  <c r="C38" i="17"/>
  <c r="AA38" i="17"/>
  <c r="M40" i="17"/>
  <c r="T41" i="17"/>
  <c r="S42" i="17"/>
  <c r="V44" i="17"/>
  <c r="AM30" i="14"/>
  <c r="AK32" i="14"/>
  <c r="AM39" i="14"/>
  <c r="AK18" i="15"/>
  <c r="AM29" i="15"/>
  <c r="AK42" i="15"/>
  <c r="J12" i="17"/>
  <c r="I16" i="17"/>
  <c r="AA16" i="17"/>
  <c r="Y17" i="17"/>
  <c r="X23" i="17"/>
  <c r="S24" i="17"/>
  <c r="P27" i="17"/>
  <c r="V34" i="17"/>
  <c r="X35" i="17"/>
  <c r="O40" i="17"/>
  <c r="X41" i="17"/>
  <c r="U42" i="17"/>
  <c r="W44" i="17"/>
  <c r="AN10" i="9"/>
  <c r="AL16" i="9"/>
  <c r="AJ24" i="9"/>
  <c r="AN29" i="9"/>
  <c r="AJ35" i="9"/>
  <c r="AM38" i="9"/>
  <c r="AM18" i="10"/>
  <c r="AM26" i="10"/>
  <c r="AM32" i="10"/>
  <c r="AK38" i="10"/>
  <c r="AJ40" i="10"/>
  <c r="AL11" i="11"/>
  <c r="AJ19" i="11"/>
  <c r="AM26" i="11"/>
  <c r="AL30" i="11"/>
  <c r="AM39" i="11"/>
  <c r="AJ43" i="11"/>
  <c r="AL13" i="12"/>
  <c r="AM18" i="12"/>
  <c r="AK22" i="12"/>
  <c r="AJ24" i="12"/>
  <c r="AM33" i="12"/>
  <c r="AM42" i="12"/>
  <c r="AJ7" i="13"/>
  <c r="AJ17" i="13"/>
  <c r="AJ19" i="13"/>
  <c r="AM24" i="13"/>
  <c r="AJ28" i="13"/>
  <c r="AN29" i="13"/>
  <c r="AJ33" i="13"/>
  <c r="AJ35" i="13"/>
  <c r="AM40" i="13"/>
  <c r="AM7" i="14"/>
  <c r="AN12" i="14"/>
  <c r="AL16" i="14"/>
  <c r="AM18" i="14"/>
  <c r="AK27" i="14"/>
  <c r="AL32" i="14"/>
  <c r="AJ34" i="14"/>
  <c r="AL41" i="14"/>
  <c r="AL18" i="15"/>
  <c r="AL42" i="15"/>
  <c r="F8" i="17"/>
  <c r="K12" i="17"/>
  <c r="J16" i="17"/>
  <c r="Y23" i="17"/>
  <c r="W24" i="17"/>
  <c r="R27" i="17"/>
  <c r="P40" i="17"/>
  <c r="V42" i="17"/>
  <c r="AN14" i="9"/>
  <c r="AJ28" i="9"/>
  <c r="AK19" i="11"/>
  <c r="AJ38" i="11"/>
  <c r="AK43" i="11"/>
  <c r="AJ8" i="12"/>
  <c r="AM13" i="12"/>
  <c r="AJ17" i="12"/>
  <c r="AN18" i="12"/>
  <c r="AJ41" i="12"/>
  <c r="AN42" i="12"/>
  <c r="AK7" i="13"/>
  <c r="AL17" i="13"/>
  <c r="AK19" i="13"/>
  <c r="AK28" i="13"/>
  <c r="AL33" i="13"/>
  <c r="AK35" i="13"/>
  <c r="AL9" i="14"/>
  <c r="AN16" i="14"/>
  <c r="AL20" i="14"/>
  <c r="AJ22" i="14"/>
  <c r="AM27" i="14"/>
  <c r="AN32" i="14"/>
  <c r="AL34" i="14"/>
  <c r="AJ36" i="14"/>
  <c r="AN41" i="14"/>
  <c r="AK43" i="14"/>
  <c r="AM18" i="15"/>
  <c r="AM42" i="15"/>
  <c r="R8" i="17"/>
  <c r="L12" i="17"/>
  <c r="K16" i="17"/>
  <c r="D17" i="17"/>
  <c r="E18" i="17"/>
  <c r="Y24" i="17"/>
  <c r="S27" i="17"/>
  <c r="C36" i="17"/>
  <c r="U40" i="17"/>
  <c r="C42" i="17"/>
  <c r="AA42" i="17"/>
  <c r="G45" i="17"/>
  <c r="AL24" i="9"/>
  <c r="AK28" i="9"/>
  <c r="AK37" i="9"/>
  <c r="AN42" i="9"/>
  <c r="AL40" i="10"/>
  <c r="AL19" i="11"/>
  <c r="AK38" i="11"/>
  <c r="AL43" i="11"/>
  <c r="AL8" i="12"/>
  <c r="AK17" i="12"/>
  <c r="AM22" i="12"/>
  <c r="AK41" i="12"/>
  <c r="AL7" i="13"/>
  <c r="AM17" i="13"/>
  <c r="AL28" i="13"/>
  <c r="AM33" i="13"/>
  <c r="AK11" i="14"/>
  <c r="AL22" i="14"/>
  <c r="AJ24" i="14"/>
  <c r="AL29" i="14"/>
  <c r="AM34" i="14"/>
  <c r="R9" i="17"/>
  <c r="I10" i="17"/>
  <c r="P11" i="17"/>
  <c r="M12" i="17"/>
  <c r="H13" i="17"/>
  <c r="G14" i="17"/>
  <c r="O15" i="17"/>
  <c r="L16" i="17"/>
  <c r="F17" i="17"/>
  <c r="F18" i="17"/>
  <c r="G19" i="17"/>
  <c r="P21" i="17"/>
  <c r="B23" i="17"/>
  <c r="C24" i="17"/>
  <c r="AA24" i="17"/>
  <c r="Y26" i="17"/>
  <c r="Y27" i="17"/>
  <c r="I30" i="17"/>
  <c r="F33" i="17"/>
  <c r="E34" i="17"/>
  <c r="D35" i="17"/>
  <c r="D36" i="17"/>
  <c r="I38" i="17"/>
  <c r="N39" i="17"/>
  <c r="V40" i="17"/>
  <c r="D42" i="17"/>
  <c r="H45" i="17"/>
  <c r="AL11" i="14"/>
  <c r="AK24" i="14"/>
  <c r="AN29" i="14"/>
  <c r="O12" i="17"/>
  <c r="Z27" i="17"/>
  <c r="W40" i="17"/>
  <c r="AN26" i="9"/>
  <c r="AJ15" i="10"/>
  <c r="AJ17" i="10"/>
  <c r="AJ25" i="10"/>
  <c r="AJ37" i="10"/>
  <c r="AJ18" i="11"/>
  <c r="AM38" i="11"/>
  <c r="AJ42" i="11"/>
  <c r="AN6" i="12"/>
  <c r="AK10" i="12"/>
  <c r="AJ12" i="12"/>
  <c r="AK30" i="12"/>
  <c r="AJ32" i="12"/>
  <c r="AM11" i="14"/>
  <c r="AL24" i="14"/>
  <c r="AL38" i="14"/>
  <c r="AK17" i="15"/>
  <c r="AJ28" i="15"/>
  <c r="AK41" i="15"/>
  <c r="C9" i="17"/>
  <c r="T9" i="17"/>
  <c r="O10" i="17"/>
  <c r="X11" i="17"/>
  <c r="M14" i="17"/>
  <c r="V15" i="17"/>
  <c r="I18" i="17"/>
  <c r="R19" i="17"/>
  <c r="G24" i="17"/>
  <c r="O30" i="17"/>
  <c r="I34" i="17"/>
  <c r="O38" i="17"/>
  <c r="R39" i="17"/>
  <c r="G42" i="17"/>
  <c r="T45" i="17"/>
  <c r="AM6" i="6"/>
  <c r="AK6" i="6"/>
  <c r="AM14" i="6"/>
  <c r="AK14" i="6"/>
  <c r="AN19" i="6"/>
  <c r="AL19" i="6"/>
  <c r="AJ37" i="6"/>
  <c r="AL37" i="6"/>
  <c r="AM42" i="6"/>
  <c r="AL42" i="6"/>
  <c r="AK42" i="6"/>
  <c r="AN33" i="7"/>
  <c r="AM33" i="7"/>
  <c r="AL33" i="7"/>
  <c r="AK33" i="7"/>
  <c r="AJ33" i="7"/>
  <c r="AN27" i="9"/>
  <c r="AM27" i="9"/>
  <c r="AL27" i="9"/>
  <c r="AK27" i="9"/>
  <c r="AJ27" i="9"/>
  <c r="AN11" i="6"/>
  <c r="AL11" i="6"/>
  <c r="AN39" i="6"/>
  <c r="AL39" i="6"/>
  <c r="AJ10" i="4"/>
  <c r="AJ26" i="4"/>
  <c r="AJ34" i="4"/>
  <c r="AK5" i="5"/>
  <c r="AJ32" i="5"/>
  <c r="AJ6" i="6"/>
  <c r="AJ14" i="6"/>
  <c r="AJ19" i="6"/>
  <c r="AN31" i="6"/>
  <c r="AL31" i="6"/>
  <c r="AK37" i="6"/>
  <c r="AJ42" i="6"/>
  <c r="AM5" i="7"/>
  <c r="AJ5" i="7"/>
  <c r="AN40" i="9"/>
  <c r="AL40" i="9"/>
  <c r="AM40" i="9"/>
  <c r="AK40" i="9"/>
  <c r="AJ40" i="9"/>
  <c r="AN13" i="11"/>
  <c r="AM13" i="11"/>
  <c r="AK13" i="11"/>
  <c r="AL13" i="11"/>
  <c r="AJ13" i="11"/>
  <c r="AJ5" i="5"/>
  <c r="AJ6" i="4"/>
  <c r="AJ14" i="4"/>
  <c r="AJ18" i="4"/>
  <c r="AJ22" i="4"/>
  <c r="AJ30" i="4"/>
  <c r="AJ38" i="4"/>
  <c r="AJ42" i="4"/>
  <c r="AK6" i="4"/>
  <c r="AK10" i="4"/>
  <c r="AK14" i="4"/>
  <c r="AK18" i="4"/>
  <c r="AK22" i="4"/>
  <c r="AK26" i="4"/>
  <c r="AK30" i="4"/>
  <c r="AK34" i="4"/>
  <c r="AK38" i="4"/>
  <c r="AK42" i="4"/>
  <c r="AL23" i="5"/>
  <c r="AJ23" i="5"/>
  <c r="AN23" i="5"/>
  <c r="AJ29" i="5"/>
  <c r="AK32" i="5"/>
  <c r="AK35" i="5"/>
  <c r="AL43" i="5"/>
  <c r="AJ43" i="5"/>
  <c r="AN43" i="5"/>
  <c r="AL6" i="6"/>
  <c r="AJ11" i="6"/>
  <c r="AL14" i="6"/>
  <c r="AK19" i="6"/>
  <c r="AJ21" i="6"/>
  <c r="AL21" i="6"/>
  <c r="AM26" i="6"/>
  <c r="AL26" i="6"/>
  <c r="AK26" i="6"/>
  <c r="AM37" i="6"/>
  <c r="AJ39" i="6"/>
  <c r="AN42" i="6"/>
  <c r="AN25" i="7"/>
  <c r="AM25" i="7"/>
  <c r="AL25" i="7"/>
  <c r="AK25" i="7"/>
  <c r="AJ25" i="7"/>
  <c r="AN37" i="7"/>
  <c r="AM37" i="7"/>
  <c r="AL37" i="7"/>
  <c r="AK37" i="7"/>
  <c r="AJ37" i="7"/>
  <c r="AM34" i="6"/>
  <c r="AL34" i="6"/>
  <c r="AK34" i="6"/>
  <c r="AL18" i="4"/>
  <c r="AL22" i="4"/>
  <c r="AL42" i="4"/>
  <c r="AJ8" i="5"/>
  <c r="AJ12" i="5"/>
  <c r="AJ16" i="5"/>
  <c r="AJ20" i="5"/>
  <c r="AK29" i="5"/>
  <c r="AL32" i="5"/>
  <c r="AJ40" i="5"/>
  <c r="AJ5" i="6"/>
  <c r="AN6" i="6"/>
  <c r="AK11" i="6"/>
  <c r="AJ13" i="6"/>
  <c r="AL13" i="6"/>
  <c r="AN14" i="6"/>
  <c r="AM19" i="6"/>
  <c r="AN23" i="6"/>
  <c r="AL23" i="6"/>
  <c r="AK29" i="6"/>
  <c r="AJ34" i="6"/>
  <c r="AN37" i="6"/>
  <c r="AK39" i="6"/>
  <c r="AJ41" i="6"/>
  <c r="AL41" i="6"/>
  <c r="AK5" i="8"/>
  <c r="AM10" i="4"/>
  <c r="AJ17" i="4"/>
  <c r="AM26" i="4"/>
  <c r="AJ37" i="4"/>
  <c r="AK5" i="7"/>
  <c r="AN34" i="10"/>
  <c r="AL34" i="10"/>
  <c r="AJ34" i="10"/>
  <c r="AM34" i="10"/>
  <c r="AK34" i="10"/>
  <c r="AL14" i="4"/>
  <c r="AL30" i="4"/>
  <c r="AJ9" i="4"/>
  <c r="AM22" i="4"/>
  <c r="AK12" i="5"/>
  <c r="AL29" i="5"/>
  <c r="AN32" i="5"/>
  <c r="AK5" i="4"/>
  <c r="AN6" i="4"/>
  <c r="AK9" i="4"/>
  <c r="AN10" i="4"/>
  <c r="AK13" i="4"/>
  <c r="AN14" i="4"/>
  <c r="AK17" i="4"/>
  <c r="AN18" i="4"/>
  <c r="AK21" i="4"/>
  <c r="AK25" i="4"/>
  <c r="AN26" i="4"/>
  <c r="AK29" i="4"/>
  <c r="AN30" i="4"/>
  <c r="AK33" i="4"/>
  <c r="AN34" i="4"/>
  <c r="AK37" i="4"/>
  <c r="AN38" i="4"/>
  <c r="AK41" i="4"/>
  <c r="AN42" i="4"/>
  <c r="AL8" i="5"/>
  <c r="AL12" i="5"/>
  <c r="AL16" i="5"/>
  <c r="AL20" i="5"/>
  <c r="AK23" i="5"/>
  <c r="AM29" i="5"/>
  <c r="AK37" i="5"/>
  <c r="AL40" i="5"/>
  <c r="AN7" i="6"/>
  <c r="AL7" i="6"/>
  <c r="AN15" i="6"/>
  <c r="AL15" i="6"/>
  <c r="AK21" i="6"/>
  <c r="AJ26" i="6"/>
  <c r="AK31" i="6"/>
  <c r="AJ33" i="6"/>
  <c r="AL33" i="6"/>
  <c r="AM38" i="6"/>
  <c r="AL38" i="6"/>
  <c r="AK38" i="6"/>
  <c r="AN7" i="9"/>
  <c r="AM7" i="9"/>
  <c r="AL7" i="9"/>
  <c r="AK7" i="9"/>
  <c r="AJ7" i="9"/>
  <c r="AM11" i="10"/>
  <c r="AN11" i="10"/>
  <c r="AL11" i="10"/>
  <c r="AK11" i="10"/>
  <c r="AJ11" i="10"/>
  <c r="AJ29" i="6"/>
  <c r="AL29" i="6"/>
  <c r="AL6" i="4"/>
  <c r="AJ5" i="4"/>
  <c r="AJ21" i="4"/>
  <c r="AJ25" i="4"/>
  <c r="AJ29" i="4"/>
  <c r="AJ33" i="4"/>
  <c r="AK20" i="5"/>
  <c r="AL31" i="5"/>
  <c r="AJ31" i="5"/>
  <c r="AN31" i="5"/>
  <c r="AM10" i="6"/>
  <c r="AK10" i="6"/>
  <c r="AN34" i="6"/>
  <c r="AN17" i="7"/>
  <c r="AM17" i="7"/>
  <c r="AL17" i="7"/>
  <c r="AJ17" i="7"/>
  <c r="AL9" i="4"/>
  <c r="AL25" i="4"/>
  <c r="AL29" i="4"/>
  <c r="AL33" i="4"/>
  <c r="AL37" i="4"/>
  <c r="AL41" i="4"/>
  <c r="AJ7" i="5"/>
  <c r="AM8" i="5"/>
  <c r="AJ11" i="5"/>
  <c r="AM12" i="5"/>
  <c r="AJ15" i="5"/>
  <c r="AM16" i="5"/>
  <c r="AJ19" i="5"/>
  <c r="AM20" i="5"/>
  <c r="AJ28" i="5"/>
  <c r="AL37" i="5"/>
  <c r="AL39" i="5"/>
  <c r="AJ39" i="5"/>
  <c r="AN39" i="5"/>
  <c r="AN40" i="5"/>
  <c r="AK5" i="6"/>
  <c r="AK13" i="6"/>
  <c r="AJ23" i="6"/>
  <c r="AM31" i="6"/>
  <c r="AN35" i="6"/>
  <c r="AL35" i="6"/>
  <c r="AK41" i="6"/>
  <c r="AN9" i="7"/>
  <c r="AM9" i="7"/>
  <c r="AL9" i="7"/>
  <c r="AJ9" i="7"/>
  <c r="AN29" i="7"/>
  <c r="AM29" i="7"/>
  <c r="AL29" i="7"/>
  <c r="AK29" i="7"/>
  <c r="AJ29" i="7"/>
  <c r="AN41" i="7"/>
  <c r="AM41" i="7"/>
  <c r="AL41" i="7"/>
  <c r="AK41" i="7"/>
  <c r="AJ41" i="7"/>
  <c r="AN11" i="9"/>
  <c r="AM11" i="9"/>
  <c r="AL11" i="9"/>
  <c r="AK11" i="9"/>
  <c r="AJ11" i="9"/>
  <c r="AL35" i="5"/>
  <c r="AJ35" i="5"/>
  <c r="AN35" i="5"/>
  <c r="AN28" i="10"/>
  <c r="AM28" i="10"/>
  <c r="AL28" i="10"/>
  <c r="AK28" i="10"/>
  <c r="AJ28" i="10"/>
  <c r="AJ41" i="4"/>
  <c r="AK8" i="5"/>
  <c r="AK16" i="5"/>
  <c r="AM11" i="6"/>
  <c r="AN43" i="6"/>
  <c r="AL43" i="6"/>
  <c r="AL17" i="4"/>
  <c r="AM5" i="4"/>
  <c r="AJ8" i="4"/>
  <c r="AM9" i="4"/>
  <c r="AJ12" i="4"/>
  <c r="AM13" i="4"/>
  <c r="AJ16" i="4"/>
  <c r="AM17" i="4"/>
  <c r="AJ20" i="4"/>
  <c r="AM21" i="4"/>
  <c r="AJ24" i="4"/>
  <c r="AM25" i="4"/>
  <c r="AJ28" i="4"/>
  <c r="AM29" i="4"/>
  <c r="AJ32" i="4"/>
  <c r="AM33" i="4"/>
  <c r="AJ36" i="4"/>
  <c r="AM37" i="4"/>
  <c r="AJ40" i="4"/>
  <c r="AM41" i="4"/>
  <c r="AJ44" i="4"/>
  <c r="AK7" i="5"/>
  <c r="AK11" i="5"/>
  <c r="AK15" i="5"/>
  <c r="AK19" i="5"/>
  <c r="AJ25" i="5"/>
  <c r="AK28" i="5"/>
  <c r="AK31" i="5"/>
  <c r="AM37" i="5"/>
  <c r="AM5" i="6"/>
  <c r="AJ10" i="6"/>
  <c r="AM13" i="6"/>
  <c r="AN21" i="6"/>
  <c r="AK23" i="6"/>
  <c r="AJ25" i="6"/>
  <c r="AL25" i="6"/>
  <c r="AM30" i="6"/>
  <c r="AL30" i="6"/>
  <c r="AK30" i="6"/>
  <c r="AM41" i="6"/>
  <c r="AJ43" i="6"/>
  <c r="AK17" i="7"/>
  <c r="AJ5" i="9"/>
  <c r="AN15" i="9"/>
  <c r="AM15" i="9"/>
  <c r="AL15" i="9"/>
  <c r="AK15" i="9"/>
  <c r="AJ15" i="9"/>
  <c r="AN13" i="7"/>
  <c r="AM13" i="7"/>
  <c r="AL13" i="7"/>
  <c r="AJ13" i="7"/>
  <c r="AN31" i="9"/>
  <c r="AM31" i="9"/>
  <c r="AL31" i="9"/>
  <c r="AK31" i="9"/>
  <c r="AJ31" i="9"/>
  <c r="AL34" i="4"/>
  <c r="AL38" i="4"/>
  <c r="AJ13" i="4"/>
  <c r="AK40" i="5"/>
  <c r="AM18" i="6"/>
  <c r="AL18" i="6"/>
  <c r="AK18" i="6"/>
  <c r="AM29" i="6"/>
  <c r="AM39" i="6"/>
  <c r="AL13" i="4"/>
  <c r="AL21" i="4"/>
  <c r="AK8" i="4"/>
  <c r="AK12" i="4"/>
  <c r="AK16" i="4"/>
  <c r="AK20" i="4"/>
  <c r="AK24" i="4"/>
  <c r="AK28" i="4"/>
  <c r="AK32" i="4"/>
  <c r="AK36" i="4"/>
  <c r="AK40" i="4"/>
  <c r="AK44" i="4"/>
  <c r="AL7" i="5"/>
  <c r="AL11" i="5"/>
  <c r="AL15" i="5"/>
  <c r="AL19" i="5"/>
  <c r="AK25" i="5"/>
  <c r="AL28" i="5"/>
  <c r="AM31" i="5"/>
  <c r="AJ36" i="5"/>
  <c r="AJ7" i="6"/>
  <c r="AL10" i="6"/>
  <c r="AN13" i="6"/>
  <c r="AJ15" i="6"/>
  <c r="AN18" i="6"/>
  <c r="AM23" i="6"/>
  <c r="AN27" i="6"/>
  <c r="AL27" i="6"/>
  <c r="AK33" i="6"/>
  <c r="AJ38" i="6"/>
  <c r="AN41" i="6"/>
  <c r="AK43" i="6"/>
  <c r="AN19" i="9"/>
  <c r="AM19" i="9"/>
  <c r="AL19" i="9"/>
  <c r="AK19" i="9"/>
  <c r="AJ19" i="9"/>
  <c r="AM43" i="9"/>
  <c r="AK43" i="9"/>
  <c r="AN43" i="9"/>
  <c r="AL43" i="9"/>
  <c r="AJ43" i="9"/>
  <c r="AN29" i="11"/>
  <c r="AM29" i="11"/>
  <c r="AK29" i="11"/>
  <c r="AL29" i="11"/>
  <c r="AJ29" i="11"/>
  <c r="AL27" i="5"/>
  <c r="AJ27" i="5"/>
  <c r="AN27" i="5"/>
  <c r="AN28" i="5"/>
  <c r="AK39" i="5"/>
  <c r="AK7" i="6"/>
  <c r="AJ9" i="6"/>
  <c r="AL9" i="6"/>
  <c r="AN10" i="6"/>
  <c r="AK15" i="6"/>
  <c r="AJ17" i="6"/>
  <c r="AL17" i="6"/>
  <c r="AM22" i="6"/>
  <c r="AL22" i="6"/>
  <c r="AK22" i="6"/>
  <c r="AM33" i="6"/>
  <c r="AJ35" i="6"/>
  <c r="AN38" i="6"/>
  <c r="AM43" i="6"/>
  <c r="AK9" i="7"/>
  <c r="AN21" i="7"/>
  <c r="AM21" i="7"/>
  <c r="AL21" i="7"/>
  <c r="AJ21" i="7"/>
  <c r="AN23" i="9"/>
  <c r="AM23" i="9"/>
  <c r="AL23" i="9"/>
  <c r="AK23" i="9"/>
  <c r="AJ23" i="9"/>
  <c r="AM8" i="7"/>
  <c r="AM12" i="7"/>
  <c r="AM16" i="7"/>
  <c r="AM20" i="7"/>
  <c r="AM24" i="7"/>
  <c r="AM28" i="7"/>
  <c r="AM32" i="7"/>
  <c r="AM36" i="7"/>
  <c r="AM40" i="7"/>
  <c r="AM44" i="7"/>
  <c r="AN7" i="8"/>
  <c r="AN11" i="8"/>
  <c r="AN15" i="8"/>
  <c r="AN19" i="8"/>
  <c r="AN23" i="8"/>
  <c r="AN27" i="8"/>
  <c r="AN31" i="8"/>
  <c r="AN35" i="8"/>
  <c r="AN39" i="8"/>
  <c r="AN43" i="8"/>
  <c r="AL9" i="9"/>
  <c r="AL13" i="9"/>
  <c r="AL17" i="9"/>
  <c r="AL21" i="9"/>
  <c r="AL25" i="9"/>
  <c r="AL29" i="9"/>
  <c r="AM35" i="9"/>
  <c r="AK35" i="9"/>
  <c r="AL36" i="9"/>
  <c r="AM42" i="9"/>
  <c r="AN6" i="10"/>
  <c r="AL6" i="10"/>
  <c r="AJ6" i="10"/>
  <c r="AN7" i="10"/>
  <c r="AK15" i="10"/>
  <c r="AM24" i="10"/>
  <c r="AL35" i="10"/>
  <c r="AN16" i="11"/>
  <c r="AM16" i="11"/>
  <c r="AL16" i="11"/>
  <c r="AK16" i="11"/>
  <c r="AJ16" i="11"/>
  <c r="AN32" i="11"/>
  <c r="AM32" i="11"/>
  <c r="AL32" i="11"/>
  <c r="AK32" i="11"/>
  <c r="AJ32" i="11"/>
  <c r="AJ5" i="8"/>
  <c r="AL5" i="8" s="1"/>
  <c r="AJ9" i="8"/>
  <c r="AJ13" i="8"/>
  <c r="AJ17" i="8"/>
  <c r="AJ21" i="8"/>
  <c r="AJ25" i="8"/>
  <c r="AJ29" i="8"/>
  <c r="AJ33" i="8"/>
  <c r="AJ37" i="8"/>
  <c r="AJ41" i="8"/>
  <c r="AN14" i="10"/>
  <c r="AL14" i="10"/>
  <c r="AJ14" i="10"/>
  <c r="AJ20" i="10"/>
  <c r="AN42" i="10"/>
  <c r="AL42" i="10"/>
  <c r="AJ42" i="10"/>
  <c r="AN20" i="11"/>
  <c r="AM20" i="11"/>
  <c r="AL20" i="11"/>
  <c r="AK20" i="11"/>
  <c r="AJ20" i="11"/>
  <c r="AN36" i="11"/>
  <c r="AM36" i="11"/>
  <c r="AL36" i="11"/>
  <c r="AK36" i="11"/>
  <c r="AJ36" i="11"/>
  <c r="AL9" i="8"/>
  <c r="AL13" i="8"/>
  <c r="AL17" i="8"/>
  <c r="AL21" i="8"/>
  <c r="AL25" i="8"/>
  <c r="AL29" i="8"/>
  <c r="AL33" i="8"/>
  <c r="AL37" i="8"/>
  <c r="AL41" i="8"/>
  <c r="E45" i="9"/>
  <c r="AK5" i="10"/>
  <c r="AL20" i="10"/>
  <c r="AN22" i="10"/>
  <c r="AL22" i="10"/>
  <c r="AJ22" i="10"/>
  <c r="AN17" i="11"/>
  <c r="AM17" i="11"/>
  <c r="AK17" i="11"/>
  <c r="AN33" i="11"/>
  <c r="AM33" i="11"/>
  <c r="AK33" i="11"/>
  <c r="E45" i="12"/>
  <c r="AJ5" i="12"/>
  <c r="AM5" i="8"/>
  <c r="AJ8" i="8"/>
  <c r="AM9" i="8"/>
  <c r="AJ12" i="8"/>
  <c r="AM13" i="8"/>
  <c r="AJ16" i="8"/>
  <c r="AM17" i="8"/>
  <c r="AJ20" i="8"/>
  <c r="AM21" i="8"/>
  <c r="AJ24" i="8"/>
  <c r="AM25" i="8"/>
  <c r="AJ28" i="8"/>
  <c r="AM29" i="8"/>
  <c r="AJ32" i="8"/>
  <c r="AM33" i="8"/>
  <c r="AJ36" i="8"/>
  <c r="AM37" i="8"/>
  <c r="AJ40" i="8"/>
  <c r="AM41" i="8"/>
  <c r="AJ44" i="8"/>
  <c r="AM20" i="10"/>
  <c r="AK8" i="8"/>
  <c r="AK12" i="8"/>
  <c r="AK16" i="8"/>
  <c r="AK20" i="8"/>
  <c r="AK24" i="8"/>
  <c r="AK28" i="8"/>
  <c r="AK32" i="8"/>
  <c r="AK36" i="8"/>
  <c r="AK40" i="8"/>
  <c r="AK44" i="8"/>
  <c r="AK8" i="10"/>
  <c r="AM14" i="10"/>
  <c r="AJ19" i="10"/>
  <c r="AN30" i="10"/>
  <c r="AL30" i="10"/>
  <c r="AJ30" i="10"/>
  <c r="AJ36" i="10"/>
  <c r="AK42" i="10"/>
  <c r="AM5" i="11"/>
  <c r="AK5" i="11"/>
  <c r="AN8" i="11"/>
  <c r="AM8" i="11"/>
  <c r="AL8" i="11"/>
  <c r="AK8" i="11"/>
  <c r="AJ8" i="11"/>
  <c r="AN24" i="11"/>
  <c r="AM24" i="11"/>
  <c r="AL24" i="11"/>
  <c r="AK24" i="11"/>
  <c r="AJ24" i="11"/>
  <c r="AN40" i="11"/>
  <c r="AM40" i="11"/>
  <c r="AL40" i="11"/>
  <c r="AK40" i="11"/>
  <c r="AJ40" i="11"/>
  <c r="AL8" i="8"/>
  <c r="AL12" i="8"/>
  <c r="AL16" i="8"/>
  <c r="AL20" i="8"/>
  <c r="AL24" i="8"/>
  <c r="AL28" i="8"/>
  <c r="AL32" i="8"/>
  <c r="AL36" i="8"/>
  <c r="AL40" i="8"/>
  <c r="AL44" i="8"/>
  <c r="AJ6" i="9"/>
  <c r="AJ10" i="9"/>
  <c r="AJ14" i="9"/>
  <c r="AJ18" i="9"/>
  <c r="AJ22" i="9"/>
  <c r="AJ26" i="9"/>
  <c r="AJ30" i="9"/>
  <c r="AK34" i="9"/>
  <c r="AJ5" i="10"/>
  <c r="AN10" i="10"/>
  <c r="AL10" i="10"/>
  <c r="AJ10" i="10"/>
  <c r="AJ16" i="10"/>
  <c r="AK19" i="10"/>
  <c r="AK22" i="10"/>
  <c r="AK36" i="10"/>
  <c r="AM42" i="10"/>
  <c r="AJ17" i="11"/>
  <c r="AN21" i="11"/>
  <c r="AM21" i="11"/>
  <c r="AK21" i="11"/>
  <c r="AJ33" i="11"/>
  <c r="AN37" i="11"/>
  <c r="AM37" i="11"/>
  <c r="AK37" i="11"/>
  <c r="AJ7" i="8"/>
  <c r="AM8" i="8"/>
  <c r="AJ11" i="8"/>
  <c r="AM12" i="8"/>
  <c r="AJ15" i="8"/>
  <c r="AM16" i="8"/>
  <c r="AJ19" i="8"/>
  <c r="AM20" i="8"/>
  <c r="AJ23" i="8"/>
  <c r="AM24" i="8"/>
  <c r="AJ27" i="8"/>
  <c r="AM28" i="8"/>
  <c r="AJ31" i="8"/>
  <c r="AM32" i="8"/>
  <c r="AJ35" i="8"/>
  <c r="AM36" i="8"/>
  <c r="AJ39" i="8"/>
  <c r="AM40" i="8"/>
  <c r="AJ43" i="8"/>
  <c r="AM44" i="8"/>
  <c r="AK6" i="9"/>
  <c r="AK10" i="9"/>
  <c r="AK14" i="9"/>
  <c r="AK18" i="9"/>
  <c r="AK22" i="9"/>
  <c r="AK26" i="9"/>
  <c r="AK30" i="9"/>
  <c r="AL34" i="9"/>
  <c r="AM39" i="9"/>
  <c r="AK39" i="9"/>
  <c r="AM8" i="10"/>
  <c r="AK16" i="10"/>
  <c r="AL19" i="10"/>
  <c r="AM22" i="10"/>
  <c r="AJ27" i="10"/>
  <c r="AL36" i="10"/>
  <c r="AN38" i="10"/>
  <c r="AL38" i="10"/>
  <c r="AJ38" i="10"/>
  <c r="AN39" i="10"/>
  <c r="AK44" i="10"/>
  <c r="AL17" i="11"/>
  <c r="AL33" i="11"/>
  <c r="AK7" i="8"/>
  <c r="AK11" i="8"/>
  <c r="AK15" i="8"/>
  <c r="AK19" i="8"/>
  <c r="AK23" i="8"/>
  <c r="AK27" i="8"/>
  <c r="AK31" i="8"/>
  <c r="AK35" i="8"/>
  <c r="AK39" i="8"/>
  <c r="AK43" i="8"/>
  <c r="AL6" i="9"/>
  <c r="AL10" i="9"/>
  <c r="AL14" i="9"/>
  <c r="AL18" i="9"/>
  <c r="AL22" i="9"/>
  <c r="AL26" i="9"/>
  <c r="AL30" i="9"/>
  <c r="AM34" i="9"/>
  <c r="AJ7" i="10"/>
  <c r="AL16" i="10"/>
  <c r="AN18" i="10"/>
  <c r="AL18" i="10"/>
  <c r="AJ18" i="10"/>
  <c r="AN19" i="10"/>
  <c r="AJ24" i="10"/>
  <c r="AK27" i="10"/>
  <c r="AK30" i="10"/>
  <c r="AM36" i="10"/>
  <c r="AL44" i="10"/>
  <c r="AJ5" i="11"/>
  <c r="I6" i="17" s="1"/>
  <c r="AN12" i="11"/>
  <c r="AM12" i="11"/>
  <c r="AL12" i="11"/>
  <c r="AK12" i="11"/>
  <c r="AJ12" i="11"/>
  <c r="AN28" i="11"/>
  <c r="AM28" i="11"/>
  <c r="AL28" i="11"/>
  <c r="AK28" i="11"/>
  <c r="AJ28" i="11"/>
  <c r="AN44" i="11"/>
  <c r="AM44" i="11"/>
  <c r="AL44" i="11"/>
  <c r="AK44" i="11"/>
  <c r="AJ44" i="11"/>
  <c r="AK13" i="14"/>
  <c r="AJ13" i="14"/>
  <c r="AM13" i="14"/>
  <c r="AN13" i="14"/>
  <c r="AL13" i="14"/>
  <c r="AN34" i="9"/>
  <c r="AJ36" i="9"/>
  <c r="AK42" i="9"/>
  <c r="AN44" i="9"/>
  <c r="AL44" i="9"/>
  <c r="AK7" i="10"/>
  <c r="AK10" i="10"/>
  <c r="AL27" i="10"/>
  <c r="AM30" i="10"/>
  <c r="AJ35" i="10"/>
  <c r="AM44" i="10"/>
  <c r="AN9" i="11"/>
  <c r="AM9" i="11"/>
  <c r="AK9" i="11"/>
  <c r="AJ21" i="11"/>
  <c r="AN25" i="11"/>
  <c r="AM25" i="11"/>
  <c r="AK25" i="11"/>
  <c r="AJ37" i="11"/>
  <c r="AN41" i="11"/>
  <c r="AM41" i="11"/>
  <c r="AK41" i="11"/>
  <c r="AN26" i="10"/>
  <c r="AL26" i="10"/>
  <c r="AJ26" i="10"/>
  <c r="AM6" i="12"/>
  <c r="AK8" i="12"/>
  <c r="AK12" i="12"/>
  <c r="AK16" i="12"/>
  <c r="AK20" i="12"/>
  <c r="AK24" i="12"/>
  <c r="AK28" i="12"/>
  <c r="AK32" i="12"/>
  <c r="AK36" i="12"/>
  <c r="AK40" i="12"/>
  <c r="AK44" i="12"/>
  <c r="AL19" i="13"/>
  <c r="AL23" i="13"/>
  <c r="AL27" i="13"/>
  <c r="AL31" i="13"/>
  <c r="AL35" i="13"/>
  <c r="AL39" i="13"/>
  <c r="AM43" i="13"/>
  <c r="AK17" i="14"/>
  <c r="AJ17" i="14"/>
  <c r="AM17" i="14"/>
  <c r="AL20" i="12"/>
  <c r="AL24" i="12"/>
  <c r="AL28" i="12"/>
  <c r="AL32" i="12"/>
  <c r="AL36" i="12"/>
  <c r="AL40" i="12"/>
  <c r="AL44" i="12"/>
  <c r="AJ6" i="13"/>
  <c r="AM7" i="13"/>
  <c r="AJ10" i="13"/>
  <c r="AM11" i="13"/>
  <c r="AJ14" i="13"/>
  <c r="AM15" i="13"/>
  <c r="AJ18" i="13"/>
  <c r="AM19" i="13"/>
  <c r="AJ22" i="13"/>
  <c r="AM23" i="13"/>
  <c r="AJ26" i="13"/>
  <c r="AM27" i="13"/>
  <c r="AJ30" i="13"/>
  <c r="AM31" i="13"/>
  <c r="AJ34" i="13"/>
  <c r="AM35" i="13"/>
  <c r="AJ38" i="13"/>
  <c r="AM39" i="13"/>
  <c r="AN43" i="13"/>
  <c r="AK5" i="14"/>
  <c r="AJ5" i="14"/>
  <c r="AM5" i="14"/>
  <c r="AJ7" i="12"/>
  <c r="AM8" i="12"/>
  <c r="AJ11" i="12"/>
  <c r="AM12" i="12"/>
  <c r="AJ15" i="12"/>
  <c r="AM16" i="12"/>
  <c r="AJ19" i="12"/>
  <c r="AM20" i="12"/>
  <c r="AJ23" i="12"/>
  <c r="AM24" i="12"/>
  <c r="AJ27" i="12"/>
  <c r="AM28" i="12"/>
  <c r="AJ31" i="12"/>
  <c r="AM32" i="12"/>
  <c r="AJ35" i="12"/>
  <c r="AM36" i="12"/>
  <c r="AJ39" i="12"/>
  <c r="AM40" i="12"/>
  <c r="AJ43" i="12"/>
  <c r="AM44" i="12"/>
  <c r="AK6" i="13"/>
  <c r="AK10" i="13"/>
  <c r="AK14" i="13"/>
  <c r="AK18" i="13"/>
  <c r="AK22" i="13"/>
  <c r="AK26" i="13"/>
  <c r="AK30" i="13"/>
  <c r="AK34" i="13"/>
  <c r="AK38" i="13"/>
  <c r="AK7" i="12"/>
  <c r="AK11" i="12"/>
  <c r="AK15" i="12"/>
  <c r="AK19" i="12"/>
  <c r="AK23" i="12"/>
  <c r="AK27" i="12"/>
  <c r="AK31" i="12"/>
  <c r="AK35" i="12"/>
  <c r="AK39" i="12"/>
  <c r="AK43" i="12"/>
  <c r="AL6" i="13"/>
  <c r="AL10" i="13"/>
  <c r="AL14" i="13"/>
  <c r="AL18" i="13"/>
  <c r="AL22" i="13"/>
  <c r="AL26" i="13"/>
  <c r="AL30" i="13"/>
  <c r="AL34" i="13"/>
  <c r="AL38" i="13"/>
  <c r="AL17" i="14"/>
  <c r="AL7" i="12"/>
  <c r="AL11" i="12"/>
  <c r="AL15" i="12"/>
  <c r="AL19" i="12"/>
  <c r="AL23" i="12"/>
  <c r="AL27" i="12"/>
  <c r="AL31" i="12"/>
  <c r="AL35" i="12"/>
  <c r="AL39" i="12"/>
  <c r="AL43" i="12"/>
  <c r="AJ5" i="13"/>
  <c r="AM6" i="13"/>
  <c r="AM45" i="13" s="1"/>
  <c r="AM10" i="13"/>
  <c r="AM14" i="13"/>
  <c r="AM18" i="13"/>
  <c r="AM22" i="13"/>
  <c r="AM26" i="13"/>
  <c r="AM30" i="13"/>
  <c r="AM34" i="13"/>
  <c r="AM38" i="13"/>
  <c r="AN17" i="14"/>
  <c r="AK5" i="15"/>
  <c r="AJ6" i="12"/>
  <c r="AM7" i="12"/>
  <c r="AM11" i="12"/>
  <c r="AM15" i="12"/>
  <c r="AM19" i="12"/>
  <c r="AM23" i="12"/>
  <c r="AM27" i="12"/>
  <c r="AM31" i="12"/>
  <c r="AM35" i="12"/>
  <c r="AM39" i="12"/>
  <c r="AM43" i="12"/>
  <c r="AK5" i="13"/>
  <c r="AK9" i="14"/>
  <c r="AJ9" i="14"/>
  <c r="AM9" i="14"/>
  <c r="AK6" i="12"/>
  <c r="AM21" i="14"/>
  <c r="AM25" i="14"/>
  <c r="AM29" i="14"/>
  <c r="AM33" i="14"/>
  <c r="AM37" i="14"/>
  <c r="AM41" i="14"/>
  <c r="AK7" i="15"/>
  <c r="AN8" i="15"/>
  <c r="AK11" i="15"/>
  <c r="AN12" i="15"/>
  <c r="AK15" i="15"/>
  <c r="AN16" i="15"/>
  <c r="AK19" i="15"/>
  <c r="AN20" i="15"/>
  <c r="AK23" i="15"/>
  <c r="AN24" i="15"/>
  <c r="AK27" i="15"/>
  <c r="AN28" i="15"/>
  <c r="AK31" i="15"/>
  <c r="AN32" i="15"/>
  <c r="AK35" i="15"/>
  <c r="AN36" i="15"/>
  <c r="AK39" i="15"/>
  <c r="AN40" i="15"/>
  <c r="AK43" i="15"/>
  <c r="AN44" i="15"/>
  <c r="K6" i="17"/>
  <c r="H7" i="17"/>
  <c r="T7" i="17"/>
  <c r="E8" i="17"/>
  <c r="Q8" i="17"/>
  <c r="I20" i="17"/>
  <c r="Q21" i="17"/>
  <c r="E21" i="17"/>
  <c r="AA21" i="17"/>
  <c r="O21" i="17"/>
  <c r="C21" i="17"/>
  <c r="Z21" i="17"/>
  <c r="N21" i="17"/>
  <c r="B21" i="17"/>
  <c r="W21" i="17"/>
  <c r="K21" i="17"/>
  <c r="U21" i="17"/>
  <c r="I21" i="17"/>
  <c r="V21" i="17"/>
  <c r="J26" i="17"/>
  <c r="L29" i="17"/>
  <c r="O32" i="17"/>
  <c r="T36" i="17"/>
  <c r="H36" i="17"/>
  <c r="S36" i="17"/>
  <c r="G36" i="17"/>
  <c r="R36" i="17"/>
  <c r="F36" i="17"/>
  <c r="Q36" i="17"/>
  <c r="E36" i="17"/>
  <c r="Z36" i="17"/>
  <c r="N36" i="17"/>
  <c r="B36" i="17"/>
  <c r="X36" i="17"/>
  <c r="L36" i="17"/>
  <c r="Y36" i="17"/>
  <c r="W43" i="17"/>
  <c r="K43" i="17"/>
  <c r="V43" i="17"/>
  <c r="J43" i="17"/>
  <c r="U43" i="17"/>
  <c r="I43" i="17"/>
  <c r="T43" i="17"/>
  <c r="H43" i="17"/>
  <c r="R43" i="17"/>
  <c r="F43" i="17"/>
  <c r="Q43" i="17"/>
  <c r="E43" i="17"/>
  <c r="P43" i="17"/>
  <c r="D43" i="17"/>
  <c r="AA43" i="17"/>
  <c r="O43" i="17"/>
  <c r="C43" i="17"/>
  <c r="X43" i="17"/>
  <c r="L43" i="17"/>
  <c r="W31" i="17"/>
  <c r="K31" i="17"/>
  <c r="U31" i="17"/>
  <c r="I31" i="17"/>
  <c r="T31" i="17"/>
  <c r="H31" i="17"/>
  <c r="Q31" i="17"/>
  <c r="E31" i="17"/>
  <c r="AA31" i="17"/>
  <c r="O31" i="17"/>
  <c r="C31" i="17"/>
  <c r="V31" i="17"/>
  <c r="AM7" i="15"/>
  <c r="AM11" i="15"/>
  <c r="AM15" i="15"/>
  <c r="AM19" i="15"/>
  <c r="AM23" i="15"/>
  <c r="AM27" i="15"/>
  <c r="AM31" i="15"/>
  <c r="AM35" i="15"/>
  <c r="AM39" i="15"/>
  <c r="AM43" i="15"/>
  <c r="M6" i="17"/>
  <c r="J7" i="17"/>
  <c r="V7" i="17"/>
  <c r="G8" i="17"/>
  <c r="S8" i="17"/>
  <c r="K20" i="17"/>
  <c r="O26" i="17"/>
  <c r="T28" i="17"/>
  <c r="H28" i="17"/>
  <c r="R28" i="17"/>
  <c r="F28" i="17"/>
  <c r="Q28" i="17"/>
  <c r="E28" i="17"/>
  <c r="Z28" i="17"/>
  <c r="N28" i="17"/>
  <c r="B28" i="17"/>
  <c r="X28" i="17"/>
  <c r="L28" i="17"/>
  <c r="V28" i="17"/>
  <c r="P29" i="17"/>
  <c r="B31" i="17"/>
  <c r="X31" i="17"/>
  <c r="Q37" i="17"/>
  <c r="E37" i="17"/>
  <c r="P37" i="17"/>
  <c r="D37" i="17"/>
  <c r="AA37" i="17"/>
  <c r="O37" i="17"/>
  <c r="C37" i="17"/>
  <c r="Z37" i="17"/>
  <c r="N37" i="17"/>
  <c r="B37" i="17"/>
  <c r="W37" i="17"/>
  <c r="K37" i="17"/>
  <c r="U37" i="17"/>
  <c r="I37" i="17"/>
  <c r="Y37" i="17"/>
  <c r="AJ7" i="14"/>
  <c r="AJ11" i="14"/>
  <c r="AJ15" i="14"/>
  <c r="AJ19" i="14"/>
  <c r="AJ23" i="14"/>
  <c r="AJ27" i="14"/>
  <c r="AJ31" i="14"/>
  <c r="AJ35" i="14"/>
  <c r="AJ39" i="14"/>
  <c r="AJ43" i="14"/>
  <c r="AN7" i="15"/>
  <c r="AN11" i="15"/>
  <c r="AN15" i="15"/>
  <c r="AN19" i="15"/>
  <c r="AN23" i="15"/>
  <c r="AN27" i="15"/>
  <c r="AN31" i="15"/>
  <c r="AN35" i="15"/>
  <c r="AN39" i="15"/>
  <c r="AN43" i="15"/>
  <c r="K7" i="17"/>
  <c r="W7" i="17"/>
  <c r="H8" i="17"/>
  <c r="T8" i="17"/>
  <c r="W11" i="17"/>
  <c r="K11" i="17"/>
  <c r="U11" i="17"/>
  <c r="I11" i="17"/>
  <c r="T11" i="17"/>
  <c r="H11" i="17"/>
  <c r="Q11" i="17"/>
  <c r="E11" i="17"/>
  <c r="R11" i="17"/>
  <c r="W15" i="17"/>
  <c r="K15" i="17"/>
  <c r="U15" i="17"/>
  <c r="I15" i="17"/>
  <c r="T15" i="17"/>
  <c r="H15" i="17"/>
  <c r="Q15" i="17"/>
  <c r="E15" i="17"/>
  <c r="R15" i="17"/>
  <c r="W19" i="17"/>
  <c r="K19" i="17"/>
  <c r="U19" i="17"/>
  <c r="I19" i="17"/>
  <c r="T19" i="17"/>
  <c r="H19" i="17"/>
  <c r="Q19" i="17"/>
  <c r="E19" i="17"/>
  <c r="AA19" i="17"/>
  <c r="O19" i="17"/>
  <c r="S19" i="17"/>
  <c r="M20" i="17"/>
  <c r="G21" i="17"/>
  <c r="Z22" i="17"/>
  <c r="N22" i="17"/>
  <c r="B22" i="17"/>
  <c r="X22" i="17"/>
  <c r="L22" i="17"/>
  <c r="W22" i="17"/>
  <c r="K22" i="17"/>
  <c r="T22" i="17"/>
  <c r="H22" i="17"/>
  <c r="R22" i="17"/>
  <c r="F22" i="17"/>
  <c r="U22" i="17"/>
  <c r="Q25" i="17"/>
  <c r="E25" i="17"/>
  <c r="AA25" i="17"/>
  <c r="O25" i="17"/>
  <c r="C25" i="17"/>
  <c r="Z25" i="17"/>
  <c r="N25" i="17"/>
  <c r="B25" i="17"/>
  <c r="W25" i="17"/>
  <c r="K25" i="17"/>
  <c r="U25" i="17"/>
  <c r="I25" i="17"/>
  <c r="V25" i="17"/>
  <c r="P26" i="17"/>
  <c r="C28" i="17"/>
  <c r="W28" i="17"/>
  <c r="R29" i="17"/>
  <c r="D31" i="17"/>
  <c r="Y31" i="17"/>
  <c r="V32" i="17"/>
  <c r="I36" i="17"/>
  <c r="F37" i="17"/>
  <c r="S39" i="17"/>
  <c r="M43" i="17"/>
  <c r="C6" i="17"/>
  <c r="L7" i="17"/>
  <c r="X7" i="17"/>
  <c r="I8" i="17"/>
  <c r="U8" i="17"/>
  <c r="J10" i="17"/>
  <c r="B11" i="17"/>
  <c r="S11" i="17"/>
  <c r="Q13" i="17"/>
  <c r="E13" i="17"/>
  <c r="AA13" i="17"/>
  <c r="O13" i="17"/>
  <c r="C13" i="17"/>
  <c r="Z13" i="17"/>
  <c r="N13" i="17"/>
  <c r="B13" i="17"/>
  <c r="W13" i="17"/>
  <c r="K13" i="17"/>
  <c r="T13" i="17"/>
  <c r="J14" i="17"/>
  <c r="B15" i="17"/>
  <c r="S15" i="17"/>
  <c r="Q17" i="17"/>
  <c r="E17" i="17"/>
  <c r="AA17" i="17"/>
  <c r="O17" i="17"/>
  <c r="C17" i="17"/>
  <c r="Z17" i="17"/>
  <c r="N17" i="17"/>
  <c r="B17" i="17"/>
  <c r="W17" i="17"/>
  <c r="K17" i="17"/>
  <c r="T17" i="17"/>
  <c r="J18" i="17"/>
  <c r="B19" i="17"/>
  <c r="V19" i="17"/>
  <c r="O20" i="17"/>
  <c r="H21" i="17"/>
  <c r="C22" i="17"/>
  <c r="V22" i="17"/>
  <c r="D25" i="17"/>
  <c r="X25" i="17"/>
  <c r="Q26" i="17"/>
  <c r="D28" i="17"/>
  <c r="Y28" i="17"/>
  <c r="S29" i="17"/>
  <c r="M30" i="17"/>
  <c r="F31" i="17"/>
  <c r="Z31" i="17"/>
  <c r="J36" i="17"/>
  <c r="G37" i="17"/>
  <c r="R41" i="17"/>
  <c r="N43" i="17"/>
  <c r="AL15" i="14"/>
  <c r="AL19" i="14"/>
  <c r="AL23" i="14"/>
  <c r="AL27" i="14"/>
  <c r="AL31" i="14"/>
  <c r="AL35" i="14"/>
  <c r="AL39" i="14"/>
  <c r="AL43" i="14"/>
  <c r="AJ5" i="15"/>
  <c r="AJ45" i="15" s="1"/>
  <c r="M7" i="17"/>
  <c r="Y7" i="17"/>
  <c r="J8" i="17"/>
  <c r="V8" i="17"/>
  <c r="P20" i="17"/>
  <c r="G28" i="17"/>
  <c r="AA28" i="17"/>
  <c r="G31" i="17"/>
  <c r="T32" i="17"/>
  <c r="H32" i="17"/>
  <c r="S32" i="17"/>
  <c r="G32" i="17"/>
  <c r="R32" i="17"/>
  <c r="F32" i="17"/>
  <c r="Q32" i="17"/>
  <c r="E32" i="17"/>
  <c r="Z32" i="17"/>
  <c r="N32" i="17"/>
  <c r="B32" i="17"/>
  <c r="X32" i="17"/>
  <c r="L32" i="17"/>
  <c r="Y32" i="17"/>
  <c r="K36" i="17"/>
  <c r="H37" i="17"/>
  <c r="W39" i="17"/>
  <c r="K39" i="17"/>
  <c r="V39" i="17"/>
  <c r="J39" i="17"/>
  <c r="U39" i="17"/>
  <c r="I39" i="17"/>
  <c r="T39" i="17"/>
  <c r="H39" i="17"/>
  <c r="Q39" i="17"/>
  <c r="E39" i="17"/>
  <c r="AA39" i="17"/>
  <c r="O39" i="17"/>
  <c r="C39" i="17"/>
  <c r="Y39" i="17"/>
  <c r="S41" i="17"/>
  <c r="S43" i="17"/>
  <c r="AM43" i="14"/>
  <c r="B7" i="17"/>
  <c r="N7" i="17"/>
  <c r="Z7" i="17"/>
  <c r="K8" i="17"/>
  <c r="W8" i="17"/>
  <c r="S20" i="17"/>
  <c r="Z26" i="17"/>
  <c r="N26" i="17"/>
  <c r="B26" i="17"/>
  <c r="X26" i="17"/>
  <c r="L26" i="17"/>
  <c r="W26" i="17"/>
  <c r="K26" i="17"/>
  <c r="T26" i="17"/>
  <c r="H26" i="17"/>
  <c r="R26" i="17"/>
  <c r="F26" i="17"/>
  <c r="U26" i="17"/>
  <c r="I28" i="17"/>
  <c r="Q29" i="17"/>
  <c r="E29" i="17"/>
  <c r="AA29" i="17"/>
  <c r="O29" i="17"/>
  <c r="C29" i="17"/>
  <c r="Z29" i="17"/>
  <c r="N29" i="17"/>
  <c r="B29" i="17"/>
  <c r="W29" i="17"/>
  <c r="K29" i="17"/>
  <c r="U29" i="17"/>
  <c r="I29" i="17"/>
  <c r="V29" i="17"/>
  <c r="J31" i="17"/>
  <c r="C32" i="17"/>
  <c r="AA32" i="17"/>
  <c r="J37" i="17"/>
  <c r="Y43" i="17"/>
  <c r="AK6" i="14"/>
  <c r="AK10" i="14"/>
  <c r="AK14" i="14"/>
  <c r="AK18" i="14"/>
  <c r="AK22" i="14"/>
  <c r="AK34" i="14"/>
  <c r="AK38" i="14"/>
  <c r="AK42" i="14"/>
  <c r="AL9" i="15"/>
  <c r="AL13" i="15"/>
  <c r="AL17" i="15"/>
  <c r="AL21" i="15"/>
  <c r="AL25" i="15"/>
  <c r="AL29" i="15"/>
  <c r="AL33" i="15"/>
  <c r="AL37" i="15"/>
  <c r="AL41" i="15"/>
  <c r="F6" i="17"/>
  <c r="C7" i="17"/>
  <c r="O7" i="17"/>
  <c r="AA7" i="17"/>
  <c r="L8" i="17"/>
  <c r="X8" i="17"/>
  <c r="F11" i="17"/>
  <c r="Y11" i="17"/>
  <c r="G13" i="17"/>
  <c r="X13" i="17"/>
  <c r="F15" i="17"/>
  <c r="Y15" i="17"/>
  <c r="G17" i="17"/>
  <c r="X17" i="17"/>
  <c r="F19" i="17"/>
  <c r="Z19" i="17"/>
  <c r="M21" i="17"/>
  <c r="G22" i="17"/>
  <c r="W23" i="17"/>
  <c r="K23" i="17"/>
  <c r="U23" i="17"/>
  <c r="I23" i="17"/>
  <c r="T23" i="17"/>
  <c r="H23" i="17"/>
  <c r="Q23" i="17"/>
  <c r="E23" i="17"/>
  <c r="AA23" i="17"/>
  <c r="O23" i="17"/>
  <c r="C23" i="17"/>
  <c r="V23" i="17"/>
  <c r="H25" i="17"/>
  <c r="C26" i="17"/>
  <c r="V26" i="17"/>
  <c r="J28" i="17"/>
  <c r="D29" i="17"/>
  <c r="X29" i="17"/>
  <c r="L31" i="17"/>
  <c r="D32" i="17"/>
  <c r="Q33" i="17"/>
  <c r="E33" i="17"/>
  <c r="P33" i="17"/>
  <c r="D33" i="17"/>
  <c r="AA33" i="17"/>
  <c r="O33" i="17"/>
  <c r="C33" i="17"/>
  <c r="Z33" i="17"/>
  <c r="N33" i="17"/>
  <c r="B33" i="17"/>
  <c r="W33" i="17"/>
  <c r="K33" i="17"/>
  <c r="U33" i="17"/>
  <c r="I33" i="17"/>
  <c r="Y33" i="17"/>
  <c r="O36" i="17"/>
  <c r="L37" i="17"/>
  <c r="D39" i="17"/>
  <c r="T40" i="17"/>
  <c r="H40" i="17"/>
  <c r="S40" i="17"/>
  <c r="G40" i="17"/>
  <c r="R40" i="17"/>
  <c r="F40" i="17"/>
  <c r="Q40" i="17"/>
  <c r="E40" i="17"/>
  <c r="Z40" i="17"/>
  <c r="N40" i="17"/>
  <c r="B40" i="17"/>
  <c r="X40" i="17"/>
  <c r="L40" i="17"/>
  <c r="Y40" i="17"/>
  <c r="Z43" i="17"/>
  <c r="M8" i="17"/>
  <c r="Y8" i="17"/>
  <c r="T20" i="17"/>
  <c r="H20" i="17"/>
  <c r="R20" i="17"/>
  <c r="F20" i="17"/>
  <c r="Q20" i="17"/>
  <c r="E20" i="17"/>
  <c r="Z20" i="17"/>
  <c r="N20" i="17"/>
  <c r="B20" i="17"/>
  <c r="X20" i="17"/>
  <c r="L20" i="17"/>
  <c r="V20" i="17"/>
  <c r="M31" i="17"/>
  <c r="AJ21" i="14"/>
  <c r="AJ25" i="14"/>
  <c r="AJ29" i="14"/>
  <c r="AJ33" i="14"/>
  <c r="AJ37" i="14"/>
  <c r="AJ41" i="14"/>
  <c r="AK8" i="15"/>
  <c r="AK12" i="15"/>
  <c r="AK16" i="15"/>
  <c r="AK20" i="15"/>
  <c r="AK24" i="15"/>
  <c r="AK28" i="15"/>
  <c r="AK32" i="15"/>
  <c r="AK36" i="15"/>
  <c r="AK40" i="15"/>
  <c r="AK44" i="15"/>
  <c r="H6" i="17"/>
  <c r="E7" i="17"/>
  <c r="Q7" i="17"/>
  <c r="B8" i="17"/>
  <c r="N8" i="17"/>
  <c r="Z8" i="17"/>
  <c r="Z10" i="17"/>
  <c r="N10" i="17"/>
  <c r="B10" i="17"/>
  <c r="X10" i="17"/>
  <c r="L10" i="17"/>
  <c r="W10" i="17"/>
  <c r="K10" i="17"/>
  <c r="T10" i="17"/>
  <c r="H10" i="17"/>
  <c r="R10" i="17"/>
  <c r="J11" i="17"/>
  <c r="AA11" i="17"/>
  <c r="Z14" i="17"/>
  <c r="N14" i="17"/>
  <c r="B14" i="17"/>
  <c r="X14" i="17"/>
  <c r="L14" i="17"/>
  <c r="W14" i="17"/>
  <c r="K14" i="17"/>
  <c r="T14" i="17"/>
  <c r="H14" i="17"/>
  <c r="R14" i="17"/>
  <c r="J15" i="17"/>
  <c r="AA15" i="17"/>
  <c r="Z18" i="17"/>
  <c r="N18" i="17"/>
  <c r="B18" i="17"/>
  <c r="X18" i="17"/>
  <c r="L18" i="17"/>
  <c r="W18" i="17"/>
  <c r="K18" i="17"/>
  <c r="T18" i="17"/>
  <c r="H18" i="17"/>
  <c r="R18" i="17"/>
  <c r="J19" i="17"/>
  <c r="C20" i="17"/>
  <c r="W20" i="17"/>
  <c r="R21" i="17"/>
  <c r="J22" i="17"/>
  <c r="L25" i="17"/>
  <c r="E26" i="17"/>
  <c r="AA26" i="17"/>
  <c r="M28" i="17"/>
  <c r="G29" i="17"/>
  <c r="Z30" i="17"/>
  <c r="N30" i="17"/>
  <c r="B30" i="17"/>
  <c r="X30" i="17"/>
  <c r="L30" i="17"/>
  <c r="W30" i="17"/>
  <c r="K30" i="17"/>
  <c r="T30" i="17"/>
  <c r="H30" i="17"/>
  <c r="R30" i="17"/>
  <c r="F30" i="17"/>
  <c r="U30" i="17"/>
  <c r="N31" i="17"/>
  <c r="J32" i="17"/>
  <c r="U36" i="17"/>
  <c r="R37" i="17"/>
  <c r="G39" i="17"/>
  <c r="Q41" i="17"/>
  <c r="E41" i="17"/>
  <c r="P41" i="17"/>
  <c r="D41" i="17"/>
  <c r="AA41" i="17"/>
  <c r="O41" i="17"/>
  <c r="C41" i="17"/>
  <c r="Z41" i="17"/>
  <c r="N41" i="17"/>
  <c r="B41" i="17"/>
  <c r="W41" i="17"/>
  <c r="K41" i="17"/>
  <c r="U41" i="17"/>
  <c r="I41" i="17"/>
  <c r="Y41" i="17"/>
  <c r="AL8" i="15"/>
  <c r="AL12" i="15"/>
  <c r="AL16" i="15"/>
  <c r="AL20" i="15"/>
  <c r="AL24" i="15"/>
  <c r="AL28" i="15"/>
  <c r="AL32" i="15"/>
  <c r="AL36" i="15"/>
  <c r="AL40" i="15"/>
  <c r="AL44" i="15"/>
  <c r="F7" i="17"/>
  <c r="R7" i="17"/>
  <c r="C8" i="17"/>
  <c r="O8" i="17"/>
  <c r="AA8" i="17"/>
  <c r="C10" i="17"/>
  <c r="S10" i="17"/>
  <c r="L11" i="17"/>
  <c r="T12" i="17"/>
  <c r="H12" i="17"/>
  <c r="R12" i="17"/>
  <c r="F12" i="17"/>
  <c r="Q12" i="17"/>
  <c r="E12" i="17"/>
  <c r="Z12" i="17"/>
  <c r="N12" i="17"/>
  <c r="B12" i="17"/>
  <c r="U12" i="17"/>
  <c r="J13" i="17"/>
  <c r="C14" i="17"/>
  <c r="S14" i="17"/>
  <c r="L15" i="17"/>
  <c r="T16" i="17"/>
  <c r="H16" i="17"/>
  <c r="R16" i="17"/>
  <c r="F16" i="17"/>
  <c r="Q16" i="17"/>
  <c r="E16" i="17"/>
  <c r="Z16" i="17"/>
  <c r="N16" i="17"/>
  <c r="B16" i="17"/>
  <c r="U16" i="17"/>
  <c r="J17" i="17"/>
  <c r="C18" i="17"/>
  <c r="S18" i="17"/>
  <c r="L19" i="17"/>
  <c r="D20" i="17"/>
  <c r="Y20" i="17"/>
  <c r="S21" i="17"/>
  <c r="M22" i="17"/>
  <c r="F23" i="17"/>
  <c r="Z23" i="17"/>
  <c r="M25" i="17"/>
  <c r="G26" i="17"/>
  <c r="W27" i="17"/>
  <c r="K27" i="17"/>
  <c r="U27" i="17"/>
  <c r="I27" i="17"/>
  <c r="T27" i="17"/>
  <c r="H27" i="17"/>
  <c r="Q27" i="17"/>
  <c r="E27" i="17"/>
  <c r="AA27" i="17"/>
  <c r="O27" i="17"/>
  <c r="C27" i="17"/>
  <c r="V27" i="17"/>
  <c r="O28" i="17"/>
  <c r="H29" i="17"/>
  <c r="C30" i="17"/>
  <c r="V30" i="17"/>
  <c r="P31" i="17"/>
  <c r="K32" i="17"/>
  <c r="H33" i="17"/>
  <c r="W35" i="17"/>
  <c r="K35" i="17"/>
  <c r="V35" i="17"/>
  <c r="J35" i="17"/>
  <c r="U35" i="17"/>
  <c r="I35" i="17"/>
  <c r="T35" i="17"/>
  <c r="H35" i="17"/>
  <c r="Q35" i="17"/>
  <c r="E35" i="17"/>
  <c r="AA35" i="17"/>
  <c r="O35" i="17"/>
  <c r="C35" i="17"/>
  <c r="Y35" i="17"/>
  <c r="V36" i="17"/>
  <c r="S37" i="17"/>
  <c r="L39" i="17"/>
  <c r="I40" i="17"/>
  <c r="F41" i="17"/>
  <c r="J6" i="17"/>
  <c r="G7" i="17"/>
  <c r="D8" i="17"/>
  <c r="Q9" i="17"/>
  <c r="AA9" i="17"/>
  <c r="O9" i="17"/>
  <c r="Z9" i="17"/>
  <c r="N9" i="17"/>
  <c r="M9" i="17"/>
  <c r="D10" i="17"/>
  <c r="U10" i="17"/>
  <c r="M11" i="17"/>
  <c r="L13" i="17"/>
  <c r="D14" i="17"/>
  <c r="U14" i="17"/>
  <c r="M15" i="17"/>
  <c r="L17" i="17"/>
  <c r="D18" i="17"/>
  <c r="U18" i="17"/>
  <c r="M19" i="17"/>
  <c r="G20" i="17"/>
  <c r="AA20" i="17"/>
  <c r="T21" i="17"/>
  <c r="O22" i="17"/>
  <c r="G23" i="17"/>
  <c r="T24" i="17"/>
  <c r="H24" i="17"/>
  <c r="R24" i="17"/>
  <c r="F24" i="17"/>
  <c r="Q24" i="17"/>
  <c r="E24" i="17"/>
  <c r="Z24" i="17"/>
  <c r="N24" i="17"/>
  <c r="B24" i="17"/>
  <c r="X24" i="17"/>
  <c r="L24" i="17"/>
  <c r="V24" i="17"/>
  <c r="P25" i="17"/>
  <c r="I26" i="17"/>
  <c r="B27" i="17"/>
  <c r="X27" i="17"/>
  <c r="P28" i="17"/>
  <c r="J29" i="17"/>
  <c r="D30" i="17"/>
  <c r="Y30" i="17"/>
  <c r="R31" i="17"/>
  <c r="M32" i="17"/>
  <c r="J33" i="17"/>
  <c r="B35" i="17"/>
  <c r="Z35" i="17"/>
  <c r="W36" i="17"/>
  <c r="T37" i="17"/>
  <c r="M39" i="17"/>
  <c r="J40" i="17"/>
  <c r="G41" i="17"/>
  <c r="I44" i="17"/>
  <c r="U44" i="17"/>
  <c r="F45" i="17"/>
  <c r="R45" i="17"/>
  <c r="F34" i="17"/>
  <c r="R34" i="17"/>
  <c r="F38" i="17"/>
  <c r="R38" i="17"/>
  <c r="F42" i="17"/>
  <c r="R42" i="17"/>
  <c r="L44" i="17"/>
  <c r="X44" i="17"/>
  <c r="I45" i="17"/>
  <c r="U45" i="17"/>
  <c r="M44" i="17"/>
  <c r="Y44" i="17"/>
  <c r="J45" i="17"/>
  <c r="V45" i="17"/>
  <c r="H34" i="17"/>
  <c r="T34" i="17"/>
  <c r="H38" i="17"/>
  <c r="T38" i="17"/>
  <c r="H42" i="17"/>
  <c r="T42" i="17"/>
  <c r="B44" i="17"/>
  <c r="N44" i="17"/>
  <c r="Z44" i="17"/>
  <c r="K45" i="17"/>
  <c r="W45" i="17"/>
  <c r="C44" i="17"/>
  <c r="O44" i="17"/>
  <c r="AA44" i="17"/>
  <c r="L45" i="17"/>
  <c r="X45" i="17"/>
  <c r="M45" i="17"/>
  <c r="Y45" i="17"/>
  <c r="K34" i="17"/>
  <c r="W34" i="17"/>
  <c r="K38" i="17"/>
  <c r="W38" i="17"/>
  <c r="K42" i="17"/>
  <c r="W42" i="17"/>
  <c r="E44" i="17"/>
  <c r="Q44" i="17"/>
  <c r="B45" i="17"/>
  <c r="N45" i="17"/>
  <c r="Z45" i="17"/>
  <c r="L34" i="17"/>
  <c r="X34" i="17"/>
  <c r="L38" i="17"/>
  <c r="X38" i="17"/>
  <c r="L42" i="17"/>
  <c r="X42" i="17"/>
  <c r="F44" i="17"/>
  <c r="R44" i="17"/>
  <c r="C45" i="17"/>
  <c r="O45" i="17"/>
  <c r="AA45" i="17"/>
  <c r="M34" i="17"/>
  <c r="Y34" i="17"/>
  <c r="M38" i="17"/>
  <c r="Y38" i="17"/>
  <c r="M42" i="17"/>
  <c r="Y42" i="17"/>
  <c r="G44" i="17"/>
  <c r="S44" i="17"/>
  <c r="D45" i="17"/>
  <c r="P45" i="17"/>
  <c r="B34" i="17"/>
  <c r="N34" i="17"/>
  <c r="B38" i="17"/>
  <c r="N38" i="17"/>
  <c r="B42" i="17"/>
  <c r="N42" i="17"/>
  <c r="H44" i="17"/>
  <c r="E45" i="17"/>
  <c r="AM45" i="10" l="1"/>
  <c r="AK45" i="12"/>
  <c r="AK45" i="6"/>
  <c r="AJ45" i="4"/>
  <c r="AM45" i="9"/>
  <c r="AM45" i="15"/>
  <c r="AM45" i="5"/>
  <c r="AM45" i="6"/>
  <c r="AM45" i="12"/>
  <c r="AK45" i="9"/>
  <c r="S6" i="17"/>
  <c r="S46" i="17" s="1"/>
  <c r="AL45" i="8"/>
  <c r="AN5" i="8"/>
  <c r="AN45" i="8" s="1"/>
  <c r="H46" i="17"/>
  <c r="AL5" i="6"/>
  <c r="AM45" i="8"/>
  <c r="B6" i="17"/>
  <c r="AK45" i="13"/>
  <c r="AK45" i="15"/>
  <c r="AL5" i="13"/>
  <c r="AJ45" i="13"/>
  <c r="AM45" i="14"/>
  <c r="D6" i="17"/>
  <c r="D46" i="17" s="1"/>
  <c r="AJ45" i="6"/>
  <c r="L6" i="17"/>
  <c r="L46" i="17" s="1"/>
  <c r="AJ45" i="14"/>
  <c r="AJ45" i="12"/>
  <c r="AL5" i="12"/>
  <c r="AK45" i="10"/>
  <c r="J46" i="17"/>
  <c r="I46" i="17"/>
  <c r="AL5" i="14"/>
  <c r="AK45" i="14"/>
  <c r="AK45" i="4"/>
  <c r="AJ45" i="11"/>
  <c r="AM45" i="4"/>
  <c r="AK45" i="7"/>
  <c r="AJ45" i="5"/>
  <c r="AL5" i="5"/>
  <c r="E6" i="17"/>
  <c r="E46" i="17" s="1"/>
  <c r="AJ45" i="7"/>
  <c r="AK45" i="5"/>
  <c r="G6" i="17"/>
  <c r="G46" i="17" s="1"/>
  <c r="AJ45" i="9"/>
  <c r="K46" i="17"/>
  <c r="AJ45" i="8"/>
  <c r="AL5" i="7"/>
  <c r="AL5" i="15"/>
  <c r="AL5" i="4"/>
  <c r="AM45" i="7"/>
  <c r="C46" i="17"/>
  <c r="F46" i="17"/>
  <c r="M46" i="17"/>
  <c r="AL5" i="11"/>
  <c r="AK45" i="11"/>
  <c r="AM45" i="11"/>
  <c r="AL5" i="9"/>
  <c r="AK45" i="8"/>
  <c r="AJ45" i="10"/>
  <c r="AL5" i="10"/>
  <c r="X6" i="17" l="1"/>
  <c r="X46" i="17" s="1"/>
  <c r="AL45" i="13"/>
  <c r="AN5" i="13"/>
  <c r="AN45" i="13" s="1"/>
  <c r="B46" i="17"/>
  <c r="N6" i="17"/>
  <c r="N46" i="17" s="1"/>
  <c r="Q6" i="17"/>
  <c r="Q46" i="17" s="1"/>
  <c r="AL45" i="6"/>
  <c r="AN5" i="6"/>
  <c r="AN45" i="6" s="1"/>
  <c r="AL45" i="14"/>
  <c r="Y6" i="17"/>
  <c r="Y46" i="17" s="1"/>
  <c r="AN5" i="14"/>
  <c r="AN45" i="14" s="1"/>
  <c r="P6" i="17"/>
  <c r="P46" i="17" s="1"/>
  <c r="AN5" i="5"/>
  <c r="AN45" i="5" s="1"/>
  <c r="AL45" i="5"/>
  <c r="AL45" i="9"/>
  <c r="AN5" i="9"/>
  <c r="AN45" i="9" s="1"/>
  <c r="T6" i="17"/>
  <c r="T46" i="17" s="1"/>
  <c r="AL45" i="15"/>
  <c r="AN5" i="15"/>
  <c r="AN45" i="15" s="1"/>
  <c r="Z6" i="17"/>
  <c r="Z46" i="17" s="1"/>
  <c r="AL45" i="11"/>
  <c r="AN5" i="11"/>
  <c r="AN45" i="11" s="1"/>
  <c r="V6" i="17"/>
  <c r="V46" i="17" s="1"/>
  <c r="AL45" i="12"/>
  <c r="AN5" i="12"/>
  <c r="AN45" i="12" s="1"/>
  <c r="W6" i="17"/>
  <c r="W46" i="17" s="1"/>
  <c r="AL45" i="4"/>
  <c r="AN5" i="4"/>
  <c r="AN45" i="4" s="1"/>
  <c r="O6" i="17"/>
  <c r="AN5" i="10"/>
  <c r="AN45" i="10" s="1"/>
  <c r="AL45" i="10"/>
  <c r="U6" i="17"/>
  <c r="U46" i="17" s="1"/>
  <c r="AL45" i="7"/>
  <c r="AN5" i="7"/>
  <c r="AN45" i="7" s="1"/>
  <c r="R6" i="17"/>
  <c r="R46" i="17" s="1"/>
  <c r="O46" i="17" l="1"/>
  <c r="AA6" i="17"/>
  <c r="AA46" i="17" s="1"/>
</calcChain>
</file>

<file path=xl/sharedStrings.xml><?xml version="1.0" encoding="utf-8"?>
<sst xmlns="http://schemas.openxmlformats.org/spreadsheetml/2006/main" count="596" uniqueCount="127">
  <si>
    <t>Daily worker tracker</t>
  </si>
  <si>
    <t>NirmanDost - free tools for people who build. v1 - 8 October 2026</t>
  </si>
  <si>
    <t>What this is</t>
  </si>
  <si>
    <t>Attendance for every worker, every day of every month, with wages due, advances paid and the balance, and a year view that totals each month. One letter per day is all it asks: P, H, A, L, or a number for overtime hours.</t>
  </si>
  <si>
    <t>How to use it</t>
  </si>
  <si>
    <t>1. Setup sheet: type the year, the site name, the hours in a working day and the overtime rate multiplier (1 = plain hourly rate).</t>
  </si>
  <si>
    <t>2. Workers sheet: one line per worker with trade and daily wage. The month sheets pick the names up from here in the same order; keep the order, add new workers at the bottom.</t>
  </si>
  <si>
    <t>3. Month sheets (Jan to Dec): for each worker and day type P (present), H (half day), A (absent), L (leave), or a number for overtime hours (2 means present plus 2 hours overtime). Sundays and days that do not exist in that month are shaded.</t>
  </si>
  <si>
    <t>4. Payments sheet: every wage payment or advance, with the date and the worker. Each month sheet shows what was paid in that month and the balance still due.</t>
  </si>
  <si>
    <t>5. Year summary: days worked and wages due per worker per month, with a total for every month.</t>
  </si>
  <si>
    <t>6. Print: month sheets print on one A4 landscape page each; the header repeats.</t>
  </si>
  <si>
    <t>7. Clear the EXAMPLE cells on the Workers and Payments sheets before you start. Clear them, do not delete the row: the month sheets read the Workers sheet row by row, so a worker who leaves is marked Active N, never deleted.</t>
  </si>
  <si>
    <t>Sheets in this file</t>
  </si>
  <si>
    <t>Setup: year, site name, hours in a day, overtime multiplier</t>
  </si>
  <si>
    <t>Workers: the crew: trade, daily wage, phone, start date</t>
  </si>
  <si>
    <t>Jan to Dec: one attendance sheet per month with days, overtime, wages due, paid, balance, and daily headcount</t>
  </si>
  <si>
    <t>Payments: wages and advances paid, by date and worker</t>
  </si>
  <si>
    <t>Year summary: days and wages per worker per month, month totals</t>
  </si>
  <si>
    <t>Legend</t>
  </si>
  <si>
    <t>Sand-coloured cells are yours to type in. Everything else works out by itself. Do not type over a formula.</t>
  </si>
  <si>
    <t>Sources</t>
  </si>
  <si>
    <t>Overtime hour rate = daily wage divided by the hours in a day, times the multiplier you set on Setup. Set it to what you agreed with the worker; no law is quoted here.</t>
  </si>
  <si>
    <t>Free, and more</t>
  </si>
  <si>
    <t>This file is free. Sign up at nirmandost.in (phone number, one-time code) for the rest of the set, the BOQ calculator and the Site Planner.</t>
  </si>
  <si>
    <t>Made by NirmanDost, Ahmedabad. It is a working tool, not professional advice: your engineer, your accountant and your contract decide. Report a problem at nirmandost.in.</t>
  </si>
  <si>
    <t>Setup</t>
  </si>
  <si>
    <t>Four inputs. Everything else reads from here.</t>
  </si>
  <si>
    <t>Year</t>
  </si>
  <si>
    <t>Site name</t>
  </si>
  <si>
    <t>Type the site name</t>
  </si>
  <si>
    <t>Hours in a working day</t>
  </si>
  <si>
    <t>Overtime hour rate = daily wage / hours in a day x multiplier. 1 = the plain hourly rate; 1.5 = time and a half, if that is your agreement.</t>
  </si>
  <si>
    <t>Overtime rate multiplier</t>
  </si>
  <si>
    <t>Workers</t>
  </si>
  <si>
    <t>One line per worker. The month sheets read names, trades and wages from here, in this order.</t>
  </si>
  <si>
    <t>#</t>
  </si>
  <si>
    <t>Worker ID</t>
  </si>
  <si>
    <t>Name</t>
  </si>
  <si>
    <t>Trade</t>
  </si>
  <si>
    <t>Daily wage (Rs)</t>
  </si>
  <si>
    <t>Phone</t>
  </si>
  <si>
    <t>Joined on</t>
  </si>
  <si>
    <t>Active (Y/N)</t>
  </si>
  <si>
    <t>Remarks</t>
  </si>
  <si>
    <t>W-01</t>
  </si>
  <si>
    <t>Ramesh (EXAMPLE, clear me)</t>
  </si>
  <si>
    <t>Mason</t>
  </si>
  <si>
    <t>98xxxxxxxx</t>
  </si>
  <si>
    <t>Y</t>
  </si>
  <si>
    <t>P present   H half day   A absent   L leave   a number = present plus that many overtime hours</t>
  </si>
  <si>
    <t>ID</t>
  </si>
  <si>
    <t>Wage/day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</si>
  <si>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</si>
  <si>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</si>
  <si>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</si>
  <si>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</si>
  <si>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</si>
  <si>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</si>
  <si>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</si>
  <si>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</si>
  <si>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</si>
  <si>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</si>
  <si>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</si>
  <si>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</si>
  <si>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</si>
  <si>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</si>
  <si>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</si>
  <si>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</si>
  <si>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</si>
  <si>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</si>
  <si>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</si>
  <si>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</si>
  <si>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</si>
  <si>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</si>
  <si>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</si>
  <si>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</si>
  <si>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</si>
  <si>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</si>
  <si>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</si>
  <si>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</si>
  <si>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</si>
  <si>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</si>
  <si>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</si>
  <si>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Days</t>
  </si>
  <si>
    <t>OT hrs</t>
  </si>
  <si>
    <t>Wages due (Rs)</t>
  </si>
  <si>
    <t>Paid (Rs)</t>
  </si>
  <si>
    <t>Balance (Rs)</t>
  </si>
  <si>
    <t>On site that day</t>
  </si>
  <si>
    <t>Payments and advances</t>
  </si>
  <si>
    <t>Every rupee paid to a worker, wage or advance, against the Worker ID. The month sheets subtract these.</t>
  </si>
  <si>
    <t>Date</t>
  </si>
  <si>
    <t>Amount (Rs)</t>
  </si>
  <si>
    <t>Wage or advance</t>
  </si>
  <si>
    <t>Paid by</t>
  </si>
  <si>
    <t>Advance</t>
  </si>
  <si>
    <t>Cash</t>
  </si>
  <si>
    <t>EXAMPLE, clear me</t>
  </si>
  <si>
    <t>Year summary</t>
  </si>
  <si>
    <t>Days worked and wages due, per worker per month. The last row totals each month.</t>
  </si>
  <si>
    <t>Worker</t>
  </si>
  <si>
    <t>Jan days</t>
  </si>
  <si>
    <t>Feb days</t>
  </si>
  <si>
    <t>Mar days</t>
  </si>
  <si>
    <t>Apr days</t>
  </si>
  <si>
    <t>May days</t>
  </si>
  <si>
    <t>Jun days</t>
  </si>
  <si>
    <t>Jul days</t>
  </si>
  <si>
    <t>Aug days</t>
  </si>
  <si>
    <t>Sep days</t>
  </si>
  <si>
    <t>Oct days</t>
  </si>
  <si>
    <t>Nov days</t>
  </si>
  <si>
    <t>Dec days</t>
  </si>
  <si>
    <t>Jan wages</t>
  </si>
  <si>
    <t>Feb wages</t>
  </si>
  <si>
    <t>Mar wages</t>
  </si>
  <si>
    <t>Apr wages</t>
  </si>
  <si>
    <t>May wages</t>
  </si>
  <si>
    <t>Jun wages</t>
  </si>
  <si>
    <t>Jul wages</t>
  </si>
  <si>
    <t>Aug wages</t>
  </si>
  <si>
    <t>Sep wages</t>
  </si>
  <si>
    <t>Oct wages</t>
  </si>
  <si>
    <t>Nov wages</t>
  </si>
  <si>
    <t>Dec wages</t>
  </si>
  <si>
    <t>Wages (Rs)</t>
  </si>
  <si>
    <t>Month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</si>
</sst>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&quot;Rs &quot;#,##0;[Red]\-&quot;Rs &quot;#,##0;&quot;-&quot;"/>
    <numFmt numFmtId="166" formatCode="dd\-mm\-yyyy"/>
  </numFmts>
  <fonts count="12" x14ac:knownFonts="1">
    <font>
      <sz val="11"/>
      <color theme="1"/>
      <name val="Calibri"/>
      <family val="2"/>
      <scheme val="minor"/>
    </font>
    <font>
      <b/>
      <sz val="18"/>
      <color rgb="FFC0480C"/>
      <name val="Arial"/>
    </font>
    <font>
      <sz val="10"/>
      <color rgb="FF6B5D52"/>
      <name val="Arial"/>
    </font>
    <font>
      <b/>
      <sz val="10"/>
      <color rgb="FF1C1108"/>
      <name val="Arial"/>
    </font>
    <font>
      <sz val="10"/>
      <color rgb="FF1C1108"/>
      <name val="Arial"/>
    </font>
    <font>
      <sz val="9"/>
      <color rgb="FF6B5D52"/>
      <name val="Arial"/>
    </font>
    <font>
      <i/>
      <sz val="9"/>
      <color rgb="FF6B5D52"/>
      <name val="Arial"/>
    </font>
    <font>
      <b/>
      <sz val="16"/>
      <color rgb="FFC0480C"/>
      <name val="Arial"/>
    </font>
    <font>
      <b/>
      <sz val="10"/>
      <color rgb="FFFFFFFF"/>
      <name val="Arial"/>
    </font>
    <font>
      <sz val="10"/>
      <color rgb="FFC0480C"/>
      <name val="Arial"/>
    </font>
    <font>
      <b/>
      <sz val="14"/>
      <color rgb="FFC0480C"/>
      <name val="Arial"/>
    </font>
    <font>
      <sz val="8"/>
      <color rgb="FF6B5D52"/>
      <name val="Arial"/>
    </font>
  </fonts>
  <fills count="5">
    <fill>
      <patternFill patternType="none"/>
    </fill>
    <fill>
      <patternFill patternType="gray125"/>
    </fill>
    <fill>
      <patternFill patternType="solid">
        <fgColor rgb="FFEADFCE"/>
      </patternFill>
    </fill>
    <fill>
      <patternFill patternType="solid">
        <fgColor rgb="FFC0480C"/>
      </patternFill>
    </fill>
    <fill>
      <patternFill patternType="solid">
        <fgColor rgb="FFF9F5F0"/>
      </patternFill>
    </fill>
  </fills>
  <borders count="2">
    <border>
      <left/>
      <right/>
      <top/>
      <bottom/>
      <diagonal/>
    </border>
    <border>
      <left style="thin">
        <color rgb="FFD9CBB8"/>
      </left>
      <right style="thin">
        <color rgb="FFD9CBB8"/>
      </right>
      <top style="thin">
        <color rgb="FFD9CBB8"/>
      </top>
      <bottom style="thin">
        <color rgb="FFD9CBB8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3" fillId="0" borderId="0" xfId="0" applyFont="1"/>
    <xf numFmtId="0" fontId="4" fillId="2" borderId="1" xfId="0" applyFont="1" applyFill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7" fillId="0" borderId="0" xfId="0" applyFont="1"/>
    <xf numFmtId="0" fontId="2" fillId="0" borderId="0" xfId="0" applyFont="1" applyAlignment="1">
      <alignment vertical="top"/>
    </xf>
    <xf numFmtId="1" fontId="4" fillId="2" borderId="1" xfId="0" applyNumberFormat="1" applyFont="1" applyFill="1" applyBorder="1"/>
    <xf numFmtId="0" fontId="4" fillId="2" borderId="1" xfId="0" applyFont="1" applyFill="1" applyBorder="1"/>
    <xf numFmtId="164" fontId="4" fillId="2" borderId="1" xfId="0" applyNumberFormat="1" applyFont="1" applyFill="1" applyBorder="1"/>
    <xf numFmtId="0" fontId="8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9" fillId="2" borderId="1" xfId="0" applyFont="1" applyFill="1" applyBorder="1"/>
    <xf numFmtId="165" fontId="4" fillId="2" borderId="1" xfId="0" applyNumberFormat="1" applyFont="1" applyFill="1" applyBorder="1"/>
    <xf numFmtId="166" fontId="4" fillId="2" borderId="1" xfId="0" applyNumberFormat="1" applyFont="1" applyFill="1" applyBorder="1"/>
    <xf numFmtId="0" fontId="10" fillId="0" borderId="0" xfId="0" applyFont="1"/>
    <xf numFmtId="0" fontId="5" fillId="0" borderId="0" xfId="0" applyFont="1"/>
    <xf numFmtId="0" fontId="11" fillId="0" borderId="0" xfId="0" applyFont="1" applyAlignment="1">
      <alignment horizontal="center"/>
    </xf>
    <xf numFmtId="0" fontId="4" fillId="0" borderId="1" xfId="0" applyFont="1" applyBorder="1"/>
    <xf numFmtId="3" fontId="4" fillId="0" borderId="1" xfId="0" applyNumberFormat="1" applyFont="1" applyBorder="1"/>
    <xf numFmtId="0" fontId="4" fillId="2" borderId="1" xfId="0" applyFont="1" applyFill="1" applyBorder="1" applyAlignment="1">
      <alignment horizontal="center"/>
    </xf>
    <xf numFmtId="164" fontId="4" fillId="0" borderId="1" xfId="0" applyNumberFormat="1" applyFont="1" applyBorder="1"/>
    <xf numFmtId="165" fontId="4" fillId="0" borderId="1" xfId="0" applyNumberFormat="1" applyFont="1" applyBorder="1"/>
    <xf numFmtId="0" fontId="4" fillId="4" borderId="1" xfId="0" applyFont="1" applyFill="1" applyBorder="1"/>
    <xf numFmtId="0" fontId="4" fillId="4" borderId="1" xfId="0" applyFont="1" applyFill="1" applyBorder="1" applyAlignment="1">
      <alignment horizontal="center"/>
    </xf>
    <xf numFmtId="164" fontId="4" fillId="4" borderId="1" xfId="0" applyNumberFormat="1" applyFont="1" applyFill="1" applyBorder="1"/>
    <xf numFmtId="165" fontId="4" fillId="4" borderId="1" xfId="0" applyNumberFormat="1" applyFont="1" applyFill="1" applyBorder="1"/>
    <xf numFmtId="0" fontId="2" fillId="0" borderId="1" xfId="0" applyFont="1" applyBorder="1"/>
    <xf numFmtId="0" fontId="6" fillId="0" borderId="0" xfId="0" applyFont="1" applyAlignment="1">
      <alignment vertical="top" wrapText="1"/>
    </xf>
    <xf numFmtId="0" fontId="0" fillId="0" borderId="0" xfId="0"/>
  </cellXfs>
  <cellStyles count="1">
    <cellStyle name="Normal" xfId="0" builtinId="0"/>
  </cellStyles>
  <dxfs count="84">
    <dxf>
      <font>
        <b/>
        <color rgb="FFB00020"/>
        <name val="Arial"/>
      </font>
    </dxf>
    <dxf>
      <font>
        <b/>
        <color rgb="FFC0480C"/>
        <name val="Arial"/>
      </font>
      <fill>
        <patternFill patternType="solid">
          <fgColor rgb="FFF0CDB8"/>
          <bgColor rgb="FFF0CDB8"/>
        </patternFill>
      </fill>
    </dxf>
    <dxf>
      <font>
        <b/>
        <color rgb="FF2F6F5E"/>
        <name val="Arial"/>
      </font>
    </dxf>
    <dxf>
      <font>
        <b/>
        <color rgb="FF9A6700"/>
        <name val="Arial"/>
      </font>
    </dxf>
    <dxf>
      <font>
        <b/>
        <color rgb="FFB00020"/>
        <name val="Arial"/>
      </font>
    </dxf>
    <dxf>
      <font>
        <color rgb="FFBBBBBB"/>
        <name val="Arial"/>
      </font>
      <fill>
        <patternFill patternType="solid">
          <fgColor rgb="FFEEEAE4"/>
          <bgColor rgb="FFEEEAE4"/>
        </patternFill>
      </fill>
    </dxf>
    <dxf>
      <font>
        <b/>
        <color rgb="FFC0480C"/>
        <name val="Arial"/>
      </font>
      <fill>
        <patternFill patternType="solid">
          <fgColor rgb="FFF0CDB8"/>
          <bgColor rgb="FFF0CDB8"/>
        </patternFill>
      </fill>
    </dxf>
    <dxf>
      <font>
        <b/>
        <color rgb="FFB00020"/>
        <name val="Arial"/>
      </font>
    </dxf>
    <dxf>
      <font>
        <b/>
        <color rgb="FFC0480C"/>
        <name val="Arial"/>
      </font>
      <fill>
        <patternFill patternType="solid">
          <fgColor rgb="FFF0CDB8"/>
          <bgColor rgb="FFF0CDB8"/>
        </patternFill>
      </fill>
    </dxf>
    <dxf>
      <font>
        <b/>
        <color rgb="FF2F6F5E"/>
        <name val="Arial"/>
      </font>
    </dxf>
    <dxf>
      <font>
        <b/>
        <color rgb="FF9A6700"/>
        <name val="Arial"/>
      </font>
    </dxf>
    <dxf>
      <font>
        <b/>
        <color rgb="FFB00020"/>
        <name val="Arial"/>
      </font>
    </dxf>
    <dxf>
      <font>
        <color rgb="FFBBBBBB"/>
        <name val="Arial"/>
      </font>
      <fill>
        <patternFill patternType="solid">
          <fgColor rgb="FFEEEAE4"/>
          <bgColor rgb="FFEEEAE4"/>
        </patternFill>
      </fill>
    </dxf>
    <dxf>
      <font>
        <b/>
        <color rgb="FFC0480C"/>
        <name val="Arial"/>
      </font>
      <fill>
        <patternFill patternType="solid">
          <fgColor rgb="FFF0CDB8"/>
          <bgColor rgb="FFF0CDB8"/>
        </patternFill>
      </fill>
    </dxf>
    <dxf>
      <font>
        <b/>
        <color rgb="FFB00020"/>
        <name val="Arial"/>
      </font>
    </dxf>
    <dxf>
      <font>
        <b/>
        <color rgb="FFC0480C"/>
        <name val="Arial"/>
      </font>
      <fill>
        <patternFill patternType="solid">
          <fgColor rgb="FFF0CDB8"/>
          <bgColor rgb="FFF0CDB8"/>
        </patternFill>
      </fill>
    </dxf>
    <dxf>
      <font>
        <b/>
        <color rgb="FF2F6F5E"/>
        <name val="Arial"/>
      </font>
    </dxf>
    <dxf>
      <font>
        <b/>
        <color rgb="FF9A6700"/>
        <name val="Arial"/>
      </font>
    </dxf>
    <dxf>
      <font>
        <b/>
        <color rgb="FFB00020"/>
        <name val="Arial"/>
      </font>
    </dxf>
    <dxf>
      <font>
        <color rgb="FFBBBBBB"/>
        <name val="Arial"/>
      </font>
      <fill>
        <patternFill patternType="solid">
          <fgColor rgb="FFEEEAE4"/>
          <bgColor rgb="FFEEEAE4"/>
        </patternFill>
      </fill>
    </dxf>
    <dxf>
      <font>
        <b/>
        <color rgb="FFC0480C"/>
        <name val="Arial"/>
      </font>
      <fill>
        <patternFill patternType="solid">
          <fgColor rgb="FFF0CDB8"/>
          <bgColor rgb="FFF0CDB8"/>
        </patternFill>
      </fill>
    </dxf>
    <dxf>
      <font>
        <b/>
        <color rgb="FFB00020"/>
        <name val="Arial"/>
      </font>
    </dxf>
    <dxf>
      <font>
        <b/>
        <color rgb="FFC0480C"/>
        <name val="Arial"/>
      </font>
      <fill>
        <patternFill patternType="solid">
          <fgColor rgb="FFF0CDB8"/>
          <bgColor rgb="FFF0CDB8"/>
        </patternFill>
      </fill>
    </dxf>
    <dxf>
      <font>
        <b/>
        <color rgb="FF2F6F5E"/>
        <name val="Arial"/>
      </font>
    </dxf>
    <dxf>
      <font>
        <b/>
        <color rgb="FF9A6700"/>
        <name val="Arial"/>
      </font>
    </dxf>
    <dxf>
      <font>
        <b/>
        <color rgb="FFB00020"/>
        <name val="Arial"/>
      </font>
    </dxf>
    <dxf>
      <font>
        <color rgb="FFBBBBBB"/>
        <name val="Arial"/>
      </font>
      <fill>
        <patternFill patternType="solid">
          <fgColor rgb="FFEEEAE4"/>
          <bgColor rgb="FFEEEAE4"/>
        </patternFill>
      </fill>
    </dxf>
    <dxf>
      <font>
        <b/>
        <color rgb="FFC0480C"/>
        <name val="Arial"/>
      </font>
      <fill>
        <patternFill patternType="solid">
          <fgColor rgb="FFF0CDB8"/>
          <bgColor rgb="FFF0CDB8"/>
        </patternFill>
      </fill>
    </dxf>
    <dxf>
      <font>
        <b/>
        <color rgb="FFB00020"/>
        <name val="Arial"/>
      </font>
    </dxf>
    <dxf>
      <font>
        <b/>
        <color rgb="FFC0480C"/>
        <name val="Arial"/>
      </font>
      <fill>
        <patternFill patternType="solid">
          <fgColor rgb="FFF0CDB8"/>
          <bgColor rgb="FFF0CDB8"/>
        </patternFill>
      </fill>
    </dxf>
    <dxf>
      <font>
        <b/>
        <color rgb="FF2F6F5E"/>
        <name val="Arial"/>
      </font>
    </dxf>
    <dxf>
      <font>
        <b/>
        <color rgb="FF9A6700"/>
        <name val="Arial"/>
      </font>
    </dxf>
    <dxf>
      <font>
        <b/>
        <color rgb="FFB00020"/>
        <name val="Arial"/>
      </font>
    </dxf>
    <dxf>
      <font>
        <color rgb="FFBBBBBB"/>
        <name val="Arial"/>
      </font>
      <fill>
        <patternFill patternType="solid">
          <fgColor rgb="FFEEEAE4"/>
          <bgColor rgb="FFEEEAE4"/>
        </patternFill>
      </fill>
    </dxf>
    <dxf>
      <font>
        <b/>
        <color rgb="FFC0480C"/>
        <name val="Arial"/>
      </font>
      <fill>
        <patternFill patternType="solid">
          <fgColor rgb="FFF0CDB8"/>
          <bgColor rgb="FFF0CDB8"/>
        </patternFill>
      </fill>
    </dxf>
    <dxf>
      <font>
        <b/>
        <color rgb="FFB00020"/>
        <name val="Arial"/>
      </font>
    </dxf>
    <dxf>
      <font>
        <b/>
        <color rgb="FFC0480C"/>
        <name val="Arial"/>
      </font>
      <fill>
        <patternFill patternType="solid">
          <fgColor rgb="FFF0CDB8"/>
          <bgColor rgb="FFF0CDB8"/>
        </patternFill>
      </fill>
    </dxf>
    <dxf>
      <font>
        <b/>
        <color rgb="FF2F6F5E"/>
        <name val="Arial"/>
      </font>
    </dxf>
    <dxf>
      <font>
        <b/>
        <color rgb="FF9A6700"/>
        <name val="Arial"/>
      </font>
    </dxf>
    <dxf>
      <font>
        <b/>
        <color rgb="FFB00020"/>
        <name val="Arial"/>
      </font>
    </dxf>
    <dxf>
      <font>
        <color rgb="FFBBBBBB"/>
        <name val="Arial"/>
      </font>
      <fill>
        <patternFill patternType="solid">
          <fgColor rgb="FFEEEAE4"/>
          <bgColor rgb="FFEEEAE4"/>
        </patternFill>
      </fill>
    </dxf>
    <dxf>
      <font>
        <b/>
        <color rgb="FFC0480C"/>
        <name val="Arial"/>
      </font>
      <fill>
        <patternFill patternType="solid">
          <fgColor rgb="FFF0CDB8"/>
          <bgColor rgb="FFF0CDB8"/>
        </patternFill>
      </fill>
    </dxf>
    <dxf>
      <font>
        <b/>
        <color rgb="FFB00020"/>
        <name val="Arial"/>
      </font>
    </dxf>
    <dxf>
      <font>
        <b/>
        <color rgb="FFC0480C"/>
        <name val="Arial"/>
      </font>
      <fill>
        <patternFill patternType="solid">
          <fgColor rgb="FFF0CDB8"/>
          <bgColor rgb="FFF0CDB8"/>
        </patternFill>
      </fill>
    </dxf>
    <dxf>
      <font>
        <b/>
        <color rgb="FF2F6F5E"/>
        <name val="Arial"/>
      </font>
    </dxf>
    <dxf>
      <font>
        <b/>
        <color rgb="FF9A6700"/>
        <name val="Arial"/>
      </font>
    </dxf>
    <dxf>
      <font>
        <b/>
        <color rgb="FFB00020"/>
        <name val="Arial"/>
      </font>
    </dxf>
    <dxf>
      <font>
        <color rgb="FFBBBBBB"/>
        <name val="Arial"/>
      </font>
      <fill>
        <patternFill patternType="solid">
          <fgColor rgb="FFEEEAE4"/>
          <bgColor rgb="FFEEEAE4"/>
        </patternFill>
      </fill>
    </dxf>
    <dxf>
      <font>
        <b/>
        <color rgb="FFC0480C"/>
        <name val="Arial"/>
      </font>
      <fill>
        <patternFill patternType="solid">
          <fgColor rgb="FFF0CDB8"/>
          <bgColor rgb="FFF0CDB8"/>
        </patternFill>
      </fill>
    </dxf>
    <dxf>
      <font>
        <b/>
        <color rgb="FFB00020"/>
        <name val="Arial"/>
      </font>
    </dxf>
    <dxf>
      <font>
        <b/>
        <color rgb="FFC0480C"/>
        <name val="Arial"/>
      </font>
      <fill>
        <patternFill patternType="solid">
          <fgColor rgb="FFF0CDB8"/>
          <bgColor rgb="FFF0CDB8"/>
        </patternFill>
      </fill>
    </dxf>
    <dxf>
      <font>
        <b/>
        <color rgb="FF2F6F5E"/>
        <name val="Arial"/>
      </font>
    </dxf>
    <dxf>
      <font>
        <b/>
        <color rgb="FF9A6700"/>
        <name val="Arial"/>
      </font>
    </dxf>
    <dxf>
      <font>
        <b/>
        <color rgb="FFB00020"/>
        <name val="Arial"/>
      </font>
    </dxf>
    <dxf>
      <font>
        <color rgb="FFBBBBBB"/>
        <name val="Arial"/>
      </font>
      <fill>
        <patternFill patternType="solid">
          <fgColor rgb="FFEEEAE4"/>
          <bgColor rgb="FFEEEAE4"/>
        </patternFill>
      </fill>
    </dxf>
    <dxf>
      <font>
        <b/>
        <color rgb="FFC0480C"/>
        <name val="Arial"/>
      </font>
      <fill>
        <patternFill patternType="solid">
          <fgColor rgb="FFF0CDB8"/>
          <bgColor rgb="FFF0CDB8"/>
        </patternFill>
      </fill>
    </dxf>
    <dxf>
      <font>
        <b/>
        <color rgb="FFB00020"/>
        <name val="Arial"/>
      </font>
    </dxf>
    <dxf>
      <font>
        <b/>
        <color rgb="FFC0480C"/>
        <name val="Arial"/>
      </font>
      <fill>
        <patternFill patternType="solid">
          <fgColor rgb="FFF0CDB8"/>
          <bgColor rgb="FFF0CDB8"/>
        </patternFill>
      </fill>
    </dxf>
    <dxf>
      <font>
        <b/>
        <color rgb="FF2F6F5E"/>
        <name val="Arial"/>
      </font>
    </dxf>
    <dxf>
      <font>
        <b/>
        <color rgb="FF9A6700"/>
        <name val="Arial"/>
      </font>
    </dxf>
    <dxf>
      <font>
        <b/>
        <color rgb="FFB00020"/>
        <name val="Arial"/>
      </font>
    </dxf>
    <dxf>
      <font>
        <color rgb="FFBBBBBB"/>
        <name val="Arial"/>
      </font>
      <fill>
        <patternFill patternType="solid">
          <fgColor rgb="FFEEEAE4"/>
          <bgColor rgb="FFEEEAE4"/>
        </patternFill>
      </fill>
    </dxf>
    <dxf>
      <font>
        <b/>
        <color rgb="FFC0480C"/>
        <name val="Arial"/>
      </font>
      <fill>
        <patternFill patternType="solid">
          <fgColor rgb="FFF0CDB8"/>
          <bgColor rgb="FFF0CDB8"/>
        </patternFill>
      </fill>
    </dxf>
    <dxf>
      <font>
        <b/>
        <color rgb="FFB00020"/>
        <name val="Arial"/>
      </font>
    </dxf>
    <dxf>
      <font>
        <b/>
        <color rgb="FFC0480C"/>
        <name val="Arial"/>
      </font>
      <fill>
        <patternFill patternType="solid">
          <fgColor rgb="FFF0CDB8"/>
          <bgColor rgb="FFF0CDB8"/>
        </patternFill>
      </fill>
    </dxf>
    <dxf>
      <font>
        <b/>
        <color rgb="FF2F6F5E"/>
        <name val="Arial"/>
      </font>
    </dxf>
    <dxf>
      <font>
        <b/>
        <color rgb="FF9A6700"/>
        <name val="Arial"/>
      </font>
    </dxf>
    <dxf>
      <font>
        <b/>
        <color rgb="FFB00020"/>
        <name val="Arial"/>
      </font>
    </dxf>
    <dxf>
      <font>
        <color rgb="FFBBBBBB"/>
        <name val="Arial"/>
      </font>
      <fill>
        <patternFill patternType="solid">
          <fgColor rgb="FFEEEAE4"/>
          <bgColor rgb="FFEEEAE4"/>
        </patternFill>
      </fill>
    </dxf>
    <dxf>
      <font>
        <b/>
        <color rgb="FFC0480C"/>
        <name val="Arial"/>
      </font>
      <fill>
        <patternFill patternType="solid">
          <fgColor rgb="FFF0CDB8"/>
          <bgColor rgb="FFF0CDB8"/>
        </patternFill>
      </fill>
    </dxf>
    <dxf>
      <font>
        <b/>
        <color rgb="FFB00020"/>
        <name val="Arial"/>
      </font>
    </dxf>
    <dxf>
      <font>
        <b/>
        <color rgb="FFC0480C"/>
        <name val="Arial"/>
      </font>
      <fill>
        <patternFill patternType="solid">
          <fgColor rgb="FFF0CDB8"/>
          <bgColor rgb="FFF0CDB8"/>
        </patternFill>
      </fill>
    </dxf>
    <dxf>
      <font>
        <b/>
        <color rgb="FF2F6F5E"/>
        <name val="Arial"/>
      </font>
    </dxf>
    <dxf>
      <font>
        <b/>
        <color rgb="FF9A6700"/>
        <name val="Arial"/>
      </font>
    </dxf>
    <dxf>
      <font>
        <b/>
        <color rgb="FFB00020"/>
        <name val="Arial"/>
      </font>
    </dxf>
    <dxf>
      <font>
        <color rgb="FFBBBBBB"/>
        <name val="Arial"/>
      </font>
      <fill>
        <patternFill patternType="solid">
          <fgColor rgb="FFEEEAE4"/>
          <bgColor rgb="FFEEEAE4"/>
        </patternFill>
      </fill>
    </dxf>
    <dxf>
      <font>
        <b/>
        <color rgb="FFC0480C"/>
        <name val="Arial"/>
      </font>
      <fill>
        <patternFill patternType="solid">
          <fgColor rgb="FFF0CDB8"/>
          <bgColor rgb="FFF0CDB8"/>
        </patternFill>
      </fill>
    </dxf>
    <dxf>
      <font>
        <b/>
        <color rgb="FFB00020"/>
        <name val="Arial"/>
      </font>
    </dxf>
    <dxf>
      <font>
        <b/>
        <color rgb="FFC0480C"/>
        <name val="Arial"/>
      </font>
      <fill>
        <patternFill patternType="solid">
          <fgColor rgb="FFF0CDB8"/>
          <bgColor rgb="FFF0CDB8"/>
        </patternFill>
      </fill>
    </dxf>
    <dxf>
      <font>
        <b/>
        <color rgb="FF2F6F5E"/>
        <name val="Arial"/>
      </font>
    </dxf>
    <dxf>
      <font>
        <b/>
        <color rgb="FF9A6700"/>
        <name val="Arial"/>
      </font>
    </dxf>
    <dxf>
      <font>
        <b/>
        <color rgb="FFB00020"/>
        <name val="Arial"/>
      </font>
    </dxf>
    <dxf>
      <font>
        <color rgb="FFBBBBBB"/>
        <name val="Arial"/>
      </font>
      <fill>
        <patternFill patternType="solid">
          <fgColor rgb="FFEEEAE4"/>
          <bgColor rgb="FFEEEAE4"/>
        </patternFill>
      </fill>
    </dxf>
    <dxf>
      <font>
        <b/>
        <color rgb="FFC0480C"/>
        <name val="Arial"/>
      </font>
      <fill>
        <patternFill patternType="solid">
          <fgColor rgb="FFF0CDB8"/>
          <bgColor rgb="FFF0CDB8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685800" cy="6858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C29"/>
  <sheetViews>
    <sheetView showGridLines="0" tabSelected="1" workbookViewId="0"/>
  </sheetViews>
  <sheetFormatPr defaultRowHeight="14.4" x14ac:dyDescent="0.3"/>
  <cols>
    <col min="1" max="1" width="3" customWidth="1"/>
    <col min="2" max="2" width="22" customWidth="1"/>
    <col min="3" max="3" width="70" customWidth="1"/>
  </cols>
  <sheetData>
    <row r="2" spans="2:3" ht="19.95" customHeight="1" x14ac:dyDescent="0.3"/>
    <row r="3" spans="2:3" ht="19.95" customHeight="1" x14ac:dyDescent="0.4">
      <c r="C3" s="1" t="s">
        <v>0</v>
      </c>
    </row>
    <row r="4" spans="2:3" ht="19.95" customHeight="1" x14ac:dyDescent="0.3">
      <c r="C4" s="2" t="s">
        <v>1</v>
      </c>
    </row>
    <row r="7" spans="2:3" ht="45" customHeight="1" x14ac:dyDescent="0.3">
      <c r="B7" s="3" t="s">
        <v>2</v>
      </c>
      <c r="C7" s="4" t="s">
        <v>3</v>
      </c>
    </row>
    <row r="9" spans="2:3" ht="30" customHeight="1" x14ac:dyDescent="0.3">
      <c r="B9" s="3" t="s">
        <v>4</v>
      </c>
      <c r="C9" s="4" t="s">
        <v>5</v>
      </c>
    </row>
    <row r="10" spans="2:3" ht="45" customHeight="1" x14ac:dyDescent="0.3">
      <c r="C10" s="4" t="s">
        <v>6</v>
      </c>
    </row>
    <row r="11" spans="2:3" ht="45" customHeight="1" x14ac:dyDescent="0.3">
      <c r="C11" s="4" t="s">
        <v>7</v>
      </c>
    </row>
    <row r="12" spans="2:3" ht="30" customHeight="1" x14ac:dyDescent="0.3">
      <c r="C12" s="4" t="s">
        <v>8</v>
      </c>
    </row>
    <row r="13" spans="2:3" ht="30" customHeight="1" x14ac:dyDescent="0.3">
      <c r="C13" s="4" t="s">
        <v>9</v>
      </c>
    </row>
    <row r="14" spans="2:3" ht="15" customHeight="1" x14ac:dyDescent="0.3">
      <c r="C14" s="4" t="s">
        <v>10</v>
      </c>
    </row>
    <row r="15" spans="2:3" ht="45" customHeight="1" x14ac:dyDescent="0.3">
      <c r="C15" s="4" t="s">
        <v>11</v>
      </c>
    </row>
    <row r="17" spans="2:3" ht="15" customHeight="1" x14ac:dyDescent="0.3">
      <c r="B17" s="3" t="s">
        <v>12</v>
      </c>
      <c r="C17" s="4" t="s">
        <v>13</v>
      </c>
    </row>
    <row r="18" spans="2:3" ht="15" customHeight="1" x14ac:dyDescent="0.3">
      <c r="B18" s="5"/>
      <c r="C18" s="4" t="s">
        <v>14</v>
      </c>
    </row>
    <row r="19" spans="2:3" ht="30" customHeight="1" x14ac:dyDescent="0.3">
      <c r="B19" s="5"/>
      <c r="C19" s="4" t="s">
        <v>15</v>
      </c>
    </row>
    <row r="20" spans="2:3" ht="15" customHeight="1" x14ac:dyDescent="0.3">
      <c r="B20" s="5"/>
      <c r="C20" s="4" t="s">
        <v>16</v>
      </c>
    </row>
    <row r="21" spans="2:3" ht="15" customHeight="1" x14ac:dyDescent="0.3">
      <c r="B21" s="5"/>
      <c r="C21" s="4" t="s">
        <v>17</v>
      </c>
    </row>
    <row r="23" spans="2:3" ht="30" customHeight="1" x14ac:dyDescent="0.3">
      <c r="B23" s="3" t="s">
        <v>18</v>
      </c>
      <c r="C23" s="6" t="s">
        <v>19</v>
      </c>
    </row>
    <row r="25" spans="2:3" ht="25.95" customHeight="1" x14ac:dyDescent="0.3">
      <c r="B25" s="3" t="s">
        <v>20</v>
      </c>
      <c r="C25" s="7" t="s">
        <v>21</v>
      </c>
    </row>
    <row r="27" spans="2:3" ht="30" customHeight="1" x14ac:dyDescent="0.3">
      <c r="B27" s="3" t="s">
        <v>22</v>
      </c>
      <c r="C27" s="4" t="s">
        <v>23</v>
      </c>
    </row>
    <row r="29" spans="2:3" ht="30" customHeight="1" x14ac:dyDescent="0.3">
      <c r="C29" s="31" t="s">
        <v>24</v>
      </c>
    </row>
  </sheetData>
  <mergeCells count="1">
    <mergeCell ref="C29"/>
  </mergeCells>
  <printOptions horizontalCentered="1"/>
  <pageMargins left="0.45" right="0.45" top="0.6" bottom="0.6" header="0.3" footer="0.3"/>
  <pageSetup paperSize="9" scale="98" orientation="portrait" r:id="rId1"/>
  <headerFooter>
    <oddFooter>&amp;L&amp;8Free from NirmanDost - nirmandost.in - sign up for more free tools&amp;R&amp;8Page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7"/>
  <sheetViews>
    <sheetView showGridLines="0" workbookViewId="0"/>
  </sheetViews>
  <sheetFormatPr defaultRowHeight="14.4" x14ac:dyDescent="0.3"/>
  <cols>
    <col min="1" max="2" width="26" customWidth="1"/>
  </cols>
  <sheetData>
    <row r="1" spans="1:6" ht="21" x14ac:dyDescent="0.4">
      <c r="A1" s="8" t="s">
        <v>25</v>
      </c>
    </row>
    <row r="2" spans="1:6" x14ac:dyDescent="0.3">
      <c r="A2" s="2" t="s">
        <v>26</v>
      </c>
    </row>
    <row r="4" spans="1:6" x14ac:dyDescent="0.3">
      <c r="A4" s="9" t="s">
        <v>27</v>
      </c>
      <c r="B4" s="10">
        <v>2026</v>
      </c>
    </row>
    <row r="5" spans="1:6" x14ac:dyDescent="0.3">
      <c r="A5" s="9" t="s">
        <v>28</v>
      </c>
      <c r="B5" s="11" t="s">
        <v>29</v>
      </c>
    </row>
    <row r="6" spans="1:6" x14ac:dyDescent="0.3">
      <c r="A6" s="9" t="s">
        <v>30</v>
      </c>
      <c r="B6" s="10">
        <v>8</v>
      </c>
      <c r="C6" s="31" t="s">
        <v>31</v>
      </c>
      <c r="D6" s="32"/>
      <c r="E6" s="32"/>
      <c r="F6" s="32"/>
    </row>
    <row r="7" spans="1:6" x14ac:dyDescent="0.3">
      <c r="A7" s="9" t="s">
        <v>32</v>
      </c>
      <c r="B7" s="12">
        <v>1</v>
      </c>
      <c r="C7" s="32"/>
      <c r="D7" s="32"/>
      <c r="E7" s="32"/>
      <c r="F7" s="32"/>
    </row>
  </sheetData>
  <mergeCells count="1">
    <mergeCell ref="C6:F7"/>
  </mergeCells>
  <printOptions horizontalCentered="1"/>
  <pageMargins left="0.45" right="0.45" top="0.6" bottom="0.6" header="0.3" footer="0.3"/>
  <pageSetup paperSize="9" orientation="portrait" r:id="rId1"/>
  <headerFooter>
    <oddFooter>&amp;L&amp;8Free from NirmanDost - nirmandost.in - sign up for more free tools&amp;R&amp;8Page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44"/>
  <sheetViews>
    <sheetView showGridLines="0" workbookViewId="0">
      <pane ySplit="4" topLeftCell="A5" activePane="bottomLeft" state="frozen"/>
      <selection pane="bottomLeft"/>
    </sheetView>
  </sheetViews>
  <sheetFormatPr defaultRowHeight="14.4" x14ac:dyDescent="0.3"/>
  <cols>
    <col min="1" max="1" width="5" customWidth="1"/>
    <col min="2" max="2" width="11" customWidth="1"/>
    <col min="3" max="3" width="26" customWidth="1"/>
    <col min="4" max="4" width="16" customWidth="1"/>
    <col min="5" max="5" width="15" customWidth="1"/>
    <col min="6" max="6" width="14" customWidth="1"/>
    <col min="7" max="7" width="12" customWidth="1"/>
    <col min="8" max="8" width="10" customWidth="1"/>
    <col min="9" max="9" width="30" customWidth="1"/>
  </cols>
  <sheetData>
    <row r="1" spans="1:9" ht="21" x14ac:dyDescent="0.4">
      <c r="A1" s="8" t="s">
        <v>33</v>
      </c>
    </row>
    <row r="2" spans="1:9" x14ac:dyDescent="0.3">
      <c r="A2" s="2" t="s">
        <v>34</v>
      </c>
    </row>
    <row r="4" spans="1:9" ht="30" customHeight="1" x14ac:dyDescent="0.3">
      <c r="A4" s="13" t="s">
        <v>35</v>
      </c>
      <c r="B4" s="13" t="s">
        <v>36</v>
      </c>
      <c r="C4" s="13" t="s">
        <v>37</v>
      </c>
      <c r="D4" s="13" t="s">
        <v>38</v>
      </c>
      <c r="E4" s="13" t="s">
        <v>39</v>
      </c>
      <c r="F4" s="13" t="s">
        <v>40</v>
      </c>
      <c r="G4" s="13" t="s">
        <v>41</v>
      </c>
      <c r="H4" s="13" t="s">
        <v>42</v>
      </c>
      <c r="I4" s="13" t="s">
        <v>43</v>
      </c>
    </row>
    <row r="5" spans="1:9" x14ac:dyDescent="0.3">
      <c r="A5" s="14">
        <f t="shared" ref="A5:A44" si="0">IF(C5="","",ROW()-4)</f>
        <v>1</v>
      </c>
      <c r="B5" s="11" t="s">
        <v>44</v>
      </c>
      <c r="C5" s="15" t="s">
        <v>45</v>
      </c>
      <c r="D5" s="11" t="s">
        <v>46</v>
      </c>
      <c r="E5" s="16">
        <v>900</v>
      </c>
      <c r="F5" s="11" t="s">
        <v>47</v>
      </c>
      <c r="G5" s="17">
        <v>46296</v>
      </c>
      <c r="H5" s="11" t="s">
        <v>48</v>
      </c>
      <c r="I5" s="11"/>
    </row>
    <row r="6" spans="1:9" x14ac:dyDescent="0.3">
      <c r="A6" s="14" t="str">
        <f t="shared" si="0"/>
        <v/>
      </c>
      <c r="B6" s="11"/>
      <c r="C6" s="11"/>
      <c r="D6" s="11"/>
      <c r="E6" s="16"/>
      <c r="F6" s="11"/>
      <c r="G6" s="17"/>
      <c r="H6" s="11"/>
      <c r="I6" s="11"/>
    </row>
    <row r="7" spans="1:9" x14ac:dyDescent="0.3">
      <c r="A7" s="14" t="str">
        <f t="shared" si="0"/>
        <v/>
      </c>
      <c r="B7" s="11"/>
      <c r="C7" s="11"/>
      <c r="D7" s="11"/>
      <c r="E7" s="16"/>
      <c r="F7" s="11"/>
      <c r="G7" s="17"/>
      <c r="H7" s="11"/>
      <c r="I7" s="11"/>
    </row>
    <row r="8" spans="1:9" x14ac:dyDescent="0.3">
      <c r="A8" s="14" t="str">
        <f t="shared" si="0"/>
        <v/>
      </c>
      <c r="B8" s="11"/>
      <c r="C8" s="11"/>
      <c r="D8" s="11"/>
      <c r="E8" s="16"/>
      <c r="F8" s="11"/>
      <c r="G8" s="17"/>
      <c r="H8" s="11"/>
      <c r="I8" s="11"/>
    </row>
    <row r="9" spans="1:9" x14ac:dyDescent="0.3">
      <c r="A9" s="14" t="str">
        <f t="shared" si="0"/>
        <v/>
      </c>
      <c r="B9" s="11"/>
      <c r="C9" s="11"/>
      <c r="D9" s="11"/>
      <c r="E9" s="16"/>
      <c r="F9" s="11"/>
      <c r="G9" s="17"/>
      <c r="H9" s="11"/>
      <c r="I9" s="11"/>
    </row>
    <row r="10" spans="1:9" x14ac:dyDescent="0.3">
      <c r="A10" s="14" t="str">
        <f t="shared" si="0"/>
        <v/>
      </c>
      <c r="B10" s="11"/>
      <c r="C10" s="11"/>
      <c r="D10" s="11"/>
      <c r="E10" s="16"/>
      <c r="F10" s="11"/>
      <c r="G10" s="17"/>
      <c r="H10" s="11"/>
      <c r="I10" s="11"/>
    </row>
    <row r="11" spans="1:9" x14ac:dyDescent="0.3">
      <c r="A11" s="14" t="str">
        <f t="shared" si="0"/>
        <v/>
      </c>
      <c r="B11" s="11"/>
      <c r="C11" s="11"/>
      <c r="D11" s="11"/>
      <c r="E11" s="16"/>
      <c r="F11" s="11"/>
      <c r="G11" s="17"/>
      <c r="H11" s="11"/>
      <c r="I11" s="11"/>
    </row>
    <row r="12" spans="1:9" x14ac:dyDescent="0.3">
      <c r="A12" s="14" t="str">
        <f t="shared" si="0"/>
        <v/>
      </c>
      <c r="B12" s="11"/>
      <c r="C12" s="11"/>
      <c r="D12" s="11"/>
      <c r="E12" s="16"/>
      <c r="F12" s="11"/>
      <c r="G12" s="17"/>
      <c r="H12" s="11"/>
      <c r="I12" s="11"/>
    </row>
    <row r="13" spans="1:9" x14ac:dyDescent="0.3">
      <c r="A13" s="14" t="str">
        <f t="shared" si="0"/>
        <v/>
      </c>
      <c r="B13" s="11"/>
      <c r="C13" s="11"/>
      <c r="D13" s="11"/>
      <c r="E13" s="16"/>
      <c r="F13" s="11"/>
      <c r="G13" s="17"/>
      <c r="H13" s="11"/>
      <c r="I13" s="11"/>
    </row>
    <row r="14" spans="1:9" x14ac:dyDescent="0.3">
      <c r="A14" s="14" t="str">
        <f t="shared" si="0"/>
        <v/>
      </c>
      <c r="B14" s="11"/>
      <c r="C14" s="11"/>
      <c r="D14" s="11"/>
      <c r="E14" s="16"/>
      <c r="F14" s="11"/>
      <c r="G14" s="17"/>
      <c r="H14" s="11"/>
      <c r="I14" s="11"/>
    </row>
    <row r="15" spans="1:9" x14ac:dyDescent="0.3">
      <c r="A15" s="14" t="str">
        <f t="shared" si="0"/>
        <v/>
      </c>
      <c r="B15" s="11"/>
      <c r="C15" s="11"/>
      <c r="D15" s="11"/>
      <c r="E15" s="16"/>
      <c r="F15" s="11"/>
      <c r="G15" s="17"/>
      <c r="H15" s="11"/>
      <c r="I15" s="11"/>
    </row>
    <row r="16" spans="1:9" x14ac:dyDescent="0.3">
      <c r="A16" s="14" t="str">
        <f t="shared" si="0"/>
        <v/>
      </c>
      <c r="B16" s="11"/>
      <c r="C16" s="11"/>
      <c r="D16" s="11"/>
      <c r="E16" s="16"/>
      <c r="F16" s="11"/>
      <c r="G16" s="17"/>
      <c r="H16" s="11"/>
      <c r="I16" s="11"/>
    </row>
    <row r="17" spans="1:9" x14ac:dyDescent="0.3">
      <c r="A17" s="14" t="str">
        <f t="shared" si="0"/>
        <v/>
      </c>
      <c r="B17" s="11"/>
      <c r="C17" s="11"/>
      <c r="D17" s="11"/>
      <c r="E17" s="16"/>
      <c r="F17" s="11"/>
      <c r="G17" s="17"/>
      <c r="H17" s="11"/>
      <c r="I17" s="11"/>
    </row>
    <row r="18" spans="1:9" x14ac:dyDescent="0.3">
      <c r="A18" s="14" t="str">
        <f t="shared" si="0"/>
        <v/>
      </c>
      <c r="B18" s="11"/>
      <c r="C18" s="11"/>
      <c r="D18" s="11"/>
      <c r="E18" s="16"/>
      <c r="F18" s="11"/>
      <c r="G18" s="17"/>
      <c r="H18" s="11"/>
      <c r="I18" s="11"/>
    </row>
    <row r="19" spans="1:9" x14ac:dyDescent="0.3">
      <c r="A19" s="14" t="str">
        <f t="shared" si="0"/>
        <v/>
      </c>
      <c r="B19" s="11"/>
      <c r="C19" s="11"/>
      <c r="D19" s="11"/>
      <c r="E19" s="16"/>
      <c r="F19" s="11"/>
      <c r="G19" s="17"/>
      <c r="H19" s="11"/>
      <c r="I19" s="11"/>
    </row>
    <row r="20" spans="1:9" x14ac:dyDescent="0.3">
      <c r="A20" s="14" t="str">
        <f t="shared" si="0"/>
        <v/>
      </c>
      <c r="B20" s="11"/>
      <c r="C20" s="11"/>
      <c r="D20" s="11"/>
      <c r="E20" s="16"/>
      <c r="F20" s="11"/>
      <c r="G20" s="17"/>
      <c r="H20" s="11"/>
      <c r="I20" s="11"/>
    </row>
    <row r="21" spans="1:9" x14ac:dyDescent="0.3">
      <c r="A21" s="14" t="str">
        <f t="shared" si="0"/>
        <v/>
      </c>
      <c r="B21" s="11"/>
      <c r="C21" s="11"/>
      <c r="D21" s="11"/>
      <c r="E21" s="16"/>
      <c r="F21" s="11"/>
      <c r="G21" s="17"/>
      <c r="H21" s="11"/>
      <c r="I21" s="11"/>
    </row>
    <row r="22" spans="1:9" x14ac:dyDescent="0.3">
      <c r="A22" s="14" t="str">
        <f t="shared" si="0"/>
        <v/>
      </c>
      <c r="B22" s="11"/>
      <c r="C22" s="11"/>
      <c r="D22" s="11"/>
      <c r="E22" s="16"/>
      <c r="F22" s="11"/>
      <c r="G22" s="17"/>
      <c r="H22" s="11"/>
      <c r="I22" s="11"/>
    </row>
    <row r="23" spans="1:9" x14ac:dyDescent="0.3">
      <c r="A23" s="14" t="str">
        <f t="shared" si="0"/>
        <v/>
      </c>
      <c r="B23" s="11"/>
      <c r="C23" s="11"/>
      <c r="D23" s="11"/>
      <c r="E23" s="16"/>
      <c r="F23" s="11"/>
      <c r="G23" s="17"/>
      <c r="H23" s="11"/>
      <c r="I23" s="11"/>
    </row>
    <row r="24" spans="1:9" x14ac:dyDescent="0.3">
      <c r="A24" s="14" t="str">
        <f t="shared" si="0"/>
        <v/>
      </c>
      <c r="B24" s="11"/>
      <c r="C24" s="11"/>
      <c r="D24" s="11"/>
      <c r="E24" s="16"/>
      <c r="F24" s="11"/>
      <c r="G24" s="17"/>
      <c r="H24" s="11"/>
      <c r="I24" s="11"/>
    </row>
    <row r="25" spans="1:9" x14ac:dyDescent="0.3">
      <c r="A25" s="14" t="str">
        <f t="shared" si="0"/>
        <v/>
      </c>
      <c r="B25" s="11"/>
      <c r="C25" s="11"/>
      <c r="D25" s="11"/>
      <c r="E25" s="16"/>
      <c r="F25" s="11"/>
      <c r="G25" s="17"/>
      <c r="H25" s="11"/>
      <c r="I25" s="11"/>
    </row>
    <row r="26" spans="1:9" x14ac:dyDescent="0.3">
      <c r="A26" s="14" t="str">
        <f t="shared" si="0"/>
        <v/>
      </c>
      <c r="B26" s="11"/>
      <c r="C26" s="11"/>
      <c r="D26" s="11"/>
      <c r="E26" s="16"/>
      <c r="F26" s="11"/>
      <c r="G26" s="17"/>
      <c r="H26" s="11"/>
      <c r="I26" s="11"/>
    </row>
    <row r="27" spans="1:9" x14ac:dyDescent="0.3">
      <c r="A27" s="14" t="str">
        <f t="shared" si="0"/>
        <v/>
      </c>
      <c r="B27" s="11"/>
      <c r="C27" s="11"/>
      <c r="D27" s="11"/>
      <c r="E27" s="16"/>
      <c r="F27" s="11"/>
      <c r="G27" s="17"/>
      <c r="H27" s="11"/>
      <c r="I27" s="11"/>
    </row>
    <row r="28" spans="1:9" x14ac:dyDescent="0.3">
      <c r="A28" s="14" t="str">
        <f t="shared" si="0"/>
        <v/>
      </c>
      <c r="B28" s="11"/>
      <c r="C28" s="11"/>
      <c r="D28" s="11"/>
      <c r="E28" s="16"/>
      <c r="F28" s="11"/>
      <c r="G28" s="17"/>
      <c r="H28" s="11"/>
      <c r="I28" s="11"/>
    </row>
    <row r="29" spans="1:9" x14ac:dyDescent="0.3">
      <c r="A29" s="14" t="str">
        <f t="shared" si="0"/>
        <v/>
      </c>
      <c r="B29" s="11"/>
      <c r="C29" s="11"/>
      <c r="D29" s="11"/>
      <c r="E29" s="16"/>
      <c r="F29" s="11"/>
      <c r="G29" s="17"/>
      <c r="H29" s="11"/>
      <c r="I29" s="11"/>
    </row>
    <row r="30" spans="1:9" x14ac:dyDescent="0.3">
      <c r="A30" s="14" t="str">
        <f t="shared" si="0"/>
        <v/>
      </c>
      <c r="B30" s="11"/>
      <c r="C30" s="11"/>
      <c r="D30" s="11"/>
      <c r="E30" s="16"/>
      <c r="F30" s="11"/>
      <c r="G30" s="17"/>
      <c r="H30" s="11"/>
      <c r="I30" s="11"/>
    </row>
    <row r="31" spans="1:9" x14ac:dyDescent="0.3">
      <c r="A31" s="14" t="str">
        <f t="shared" si="0"/>
        <v/>
      </c>
      <c r="B31" s="11"/>
      <c r="C31" s="11"/>
      <c r="D31" s="11"/>
      <c r="E31" s="16"/>
      <c r="F31" s="11"/>
      <c r="G31" s="17"/>
      <c r="H31" s="11"/>
      <c r="I31" s="11"/>
    </row>
    <row r="32" spans="1:9" x14ac:dyDescent="0.3">
      <c r="A32" s="14" t="str">
        <f t="shared" si="0"/>
        <v/>
      </c>
      <c r="B32" s="11"/>
      <c r="C32" s="11"/>
      <c r="D32" s="11"/>
      <c r="E32" s="16"/>
      <c r="F32" s="11"/>
      <c r="G32" s="17"/>
      <c r="H32" s="11"/>
      <c r="I32" s="11"/>
    </row>
    <row r="33" spans="1:9" x14ac:dyDescent="0.3">
      <c r="A33" s="14" t="str">
        <f t="shared" si="0"/>
        <v/>
      </c>
      <c r="B33" s="11"/>
      <c r="C33" s="11"/>
      <c r="D33" s="11"/>
      <c r="E33" s="16"/>
      <c r="F33" s="11"/>
      <c r="G33" s="17"/>
      <c r="H33" s="11"/>
      <c r="I33" s="11"/>
    </row>
    <row r="34" spans="1:9" x14ac:dyDescent="0.3">
      <c r="A34" s="14" t="str">
        <f t="shared" si="0"/>
        <v/>
      </c>
      <c r="B34" s="11"/>
      <c r="C34" s="11"/>
      <c r="D34" s="11"/>
      <c r="E34" s="16"/>
      <c r="F34" s="11"/>
      <c r="G34" s="17"/>
      <c r="H34" s="11"/>
      <c r="I34" s="11"/>
    </row>
    <row r="35" spans="1:9" x14ac:dyDescent="0.3">
      <c r="A35" s="14" t="str">
        <f t="shared" si="0"/>
        <v/>
      </c>
      <c r="B35" s="11"/>
      <c r="C35" s="11"/>
      <c r="D35" s="11"/>
      <c r="E35" s="16"/>
      <c r="F35" s="11"/>
      <c r="G35" s="17"/>
      <c r="H35" s="11"/>
      <c r="I35" s="11"/>
    </row>
    <row r="36" spans="1:9" x14ac:dyDescent="0.3">
      <c r="A36" s="14" t="str">
        <f t="shared" si="0"/>
        <v/>
      </c>
      <c r="B36" s="11"/>
      <c r="C36" s="11"/>
      <c r="D36" s="11"/>
      <c r="E36" s="16"/>
      <c r="F36" s="11"/>
      <c r="G36" s="17"/>
      <c r="H36" s="11"/>
      <c r="I36" s="11"/>
    </row>
    <row r="37" spans="1:9" x14ac:dyDescent="0.3">
      <c r="A37" s="14" t="str">
        <f t="shared" si="0"/>
        <v/>
      </c>
      <c r="B37" s="11"/>
      <c r="C37" s="11"/>
      <c r="D37" s="11"/>
      <c r="E37" s="16"/>
      <c r="F37" s="11"/>
      <c r="G37" s="17"/>
      <c r="H37" s="11"/>
      <c r="I37" s="11"/>
    </row>
    <row r="38" spans="1:9" x14ac:dyDescent="0.3">
      <c r="A38" s="14" t="str">
        <f t="shared" si="0"/>
        <v/>
      </c>
      <c r="B38" s="11"/>
      <c r="C38" s="11"/>
      <c r="D38" s="11"/>
      <c r="E38" s="16"/>
      <c r="F38" s="11"/>
      <c r="G38" s="17"/>
      <c r="H38" s="11"/>
      <c r="I38" s="11"/>
    </row>
    <row r="39" spans="1:9" x14ac:dyDescent="0.3">
      <c r="A39" s="14" t="str">
        <f t="shared" si="0"/>
        <v/>
      </c>
      <c r="B39" s="11"/>
      <c r="C39" s="11"/>
      <c r="D39" s="11"/>
      <c r="E39" s="16"/>
      <c r="F39" s="11"/>
      <c r="G39" s="17"/>
      <c r="H39" s="11"/>
      <c r="I39" s="11"/>
    </row>
    <row r="40" spans="1:9" x14ac:dyDescent="0.3">
      <c r="A40" s="14" t="str">
        <f t="shared" si="0"/>
        <v/>
      </c>
      <c r="B40" s="11"/>
      <c r="C40" s="11"/>
      <c r="D40" s="11"/>
      <c r="E40" s="16"/>
      <c r="F40" s="11"/>
      <c r="G40" s="17"/>
      <c r="H40" s="11"/>
      <c r="I40" s="11"/>
    </row>
    <row r="41" spans="1:9" x14ac:dyDescent="0.3">
      <c r="A41" s="14" t="str">
        <f t="shared" si="0"/>
        <v/>
      </c>
      <c r="B41" s="11"/>
      <c r="C41" s="11"/>
      <c r="D41" s="11"/>
      <c r="E41" s="16"/>
      <c r="F41" s="11"/>
      <c r="G41" s="17"/>
      <c r="H41" s="11"/>
      <c r="I41" s="11"/>
    </row>
    <row r="42" spans="1:9" x14ac:dyDescent="0.3">
      <c r="A42" s="14" t="str">
        <f t="shared" si="0"/>
        <v/>
      </c>
      <c r="B42" s="11"/>
      <c r="C42" s="11"/>
      <c r="D42" s="11"/>
      <c r="E42" s="16"/>
      <c r="F42" s="11"/>
      <c r="G42" s="17"/>
      <c r="H42" s="11"/>
      <c r="I42" s="11"/>
    </row>
    <row r="43" spans="1:9" x14ac:dyDescent="0.3">
      <c r="A43" s="14" t="str">
        <f t="shared" si="0"/>
        <v/>
      </c>
      <c r="B43" s="11"/>
      <c r="C43" s="11"/>
      <c r="D43" s="11"/>
      <c r="E43" s="16"/>
      <c r="F43" s="11"/>
      <c r="G43" s="17"/>
      <c r="H43" s="11"/>
      <c r="I43" s="11"/>
    </row>
    <row r="44" spans="1:9" x14ac:dyDescent="0.3">
      <c r="A44" s="14" t="str">
        <f t="shared" si="0"/>
        <v/>
      </c>
      <c r="B44" s="11"/>
      <c r="C44" s="11"/>
      <c r="D44" s="11"/>
      <c r="E44" s="16"/>
      <c r="F44" s="11"/>
      <c r="G44" s="17"/>
      <c r="H44" s="11"/>
      <c r="I44" s="11"/>
    </row>
  </sheetData>
  <dataValidations count="2">
    <dataValidation type="list" allowBlank="1" sqref="D5:D44" xr:uid="{00000000-0002-0000-0200-000000000000}">
      <formula1>"Mason,Helper,Carpenter,Bar bender,Electrician,Plumber,Painter,Tile layer,Welder,Supervisor,Other"</formula1>
    </dataValidation>
    <dataValidation type="list" allowBlank="1" sqref="H5:H44" xr:uid="{00000000-0002-0000-0200-000001000000}">
      <formula1>"Y,N"</formula1>
    </dataValidation>
  </dataValidations>
  <printOptions horizontalCentered="1"/>
  <pageMargins left="0.45" right="0.45" top="0.6" bottom="0.6" header="0.3" footer="0.3"/>
  <pageSetup paperSize="9" scale="67" fitToHeight="0" orientation="portrait" r:id="rId1"/>
  <headerFooter>
    <oddFooter>&amp;L&amp;8Free from NirmanDost - nirmandost.in - sign up for more free tools&amp;R&amp;8Page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N45"/>
  <sheetViews>
    <sheetView showGridLines="0" workbookViewId="0">
      <pane xSplit="4" ySplit="4" topLeftCell="E5" activePane="bottomRight" state="frozen"/>
      <selection pane="topRight"/>
      <selection pane="bottomLeft"/>
      <selection pane="bottomRight"/>
    </sheetView>
  </sheetViews>
  <sheetFormatPr defaultRowHeight="14.4" x14ac:dyDescent="0.3"/>
  <cols>
    <col min="1" max="1" width="7" customWidth="1"/>
    <col min="2" max="2" width="24" customWidth="1"/>
    <col min="3" max="3" width="11" customWidth="1"/>
    <col min="4" max="4" width="9" customWidth="1"/>
    <col min="5" max="35" width="3.5546875" customWidth="1"/>
    <col min="36" max="37" width="6.44140625" customWidth="1"/>
    <col min="38" max="38" width="12" customWidth="1"/>
    <col min="39" max="40" width="11" customWidth="1"/>
  </cols>
  <sheetData>
    <row r="1" spans="1:40" ht="17.399999999999999" x14ac:dyDescent="0.3">
      <c r="A1" s="18" t="str">
        <f>"Attendance - "&amp;TEXT(DATE(Setup!$B$4,1,1),"mmmm yyyy")&amp;"   "&amp;Setup!$B$5</f>
        <v>Attendance - January 2026   Type the site name</v>
      </c>
    </row>
    <row r="2" spans="1:40" x14ac:dyDescent="0.3">
      <c r="A2" s="19" t="s">
        <v>49</v>
      </c>
    </row>
    <row r="3" spans="1:40" x14ac:dyDescent="0.3">
      <c r="E3" s="20" t="str">
        <f>IF(1&gt;DAY(EOMONTH(DATE(Setup!$B$4,1,1),0)),"",TEXT(DATE(Setup!$B$4,1,1),"ddd"))</f>
        <v>Thu</v>
      </c>
      <c r="F3" s="20" t="str">
        <f>IF(2&gt;DAY(EOMONTH(DATE(Setup!$B$4,1,1),0)),"",TEXT(DATE(Setup!$B$4,1,2),"ddd"))</f>
        <v>Fri</v>
      </c>
      <c r="G3" s="20" t="str">
        <f>IF(3&gt;DAY(EOMONTH(DATE(Setup!$B$4,1,1),0)),"",TEXT(DATE(Setup!$B$4,1,3),"ddd"))</f>
        <v>Sat</v>
      </c>
      <c r="H3" s="20" t="str">
        <f>IF(4&gt;DAY(EOMONTH(DATE(Setup!$B$4,1,1),0)),"",TEXT(DATE(Setup!$B$4,1,4),"ddd"))</f>
        <v>Sun</v>
      </c>
      <c r="I3" s="20" t="str">
        <f>IF(5&gt;DAY(EOMONTH(DATE(Setup!$B$4,1,1),0)),"",TEXT(DATE(Setup!$B$4,1,5),"ddd"))</f>
        <v>Mon</v>
      </c>
      <c r="J3" s="20" t="str">
        <f>IF(6&gt;DAY(EOMONTH(DATE(Setup!$B$4,1,1),0)),"",TEXT(DATE(Setup!$B$4,1,6),"ddd"))</f>
        <v>Tue</v>
      </c>
      <c r="K3" s="20" t="str">
        <f>IF(7&gt;DAY(EOMONTH(DATE(Setup!$B$4,1,1),0)),"",TEXT(DATE(Setup!$B$4,1,7),"ddd"))</f>
        <v>Wed</v>
      </c>
      <c r="L3" s="20" t="str">
        <f>IF(8&gt;DAY(EOMONTH(DATE(Setup!$B$4,1,1),0)),"",TEXT(DATE(Setup!$B$4,1,8),"ddd"))</f>
        <v>Thu</v>
      </c>
      <c r="M3" s="20" t="str">
        <f>IF(9&gt;DAY(EOMONTH(DATE(Setup!$B$4,1,1),0)),"",TEXT(DATE(Setup!$B$4,1,9),"ddd"))</f>
        <v>Fri</v>
      </c>
      <c r="N3" s="20" t="str">
        <f>IF(10&gt;DAY(EOMONTH(DATE(Setup!$B$4,1,1),0)),"",TEXT(DATE(Setup!$B$4,1,10),"ddd"))</f>
        <v>Sat</v>
      </c>
      <c r="O3" s="20" t="str">
        <f>IF(11&gt;DAY(EOMONTH(DATE(Setup!$B$4,1,1),0)),"",TEXT(DATE(Setup!$B$4,1,11),"ddd"))</f>
        <v>Sun</v>
      </c>
      <c r="P3" s="20" t="str">
        <f>IF(12&gt;DAY(EOMONTH(DATE(Setup!$B$4,1,1),0)),"",TEXT(DATE(Setup!$B$4,1,12),"ddd"))</f>
        <v>Mon</v>
      </c>
      <c r="Q3" s="20" t="str">
        <f>IF(13&gt;DAY(EOMONTH(DATE(Setup!$B$4,1,1),0)),"",TEXT(DATE(Setup!$B$4,1,13),"ddd"))</f>
        <v>Tue</v>
      </c>
      <c r="R3" s="20" t="str">
        <f>IF(14&gt;DAY(EOMONTH(DATE(Setup!$B$4,1,1),0)),"",TEXT(DATE(Setup!$B$4,1,14),"ddd"))</f>
        <v>Wed</v>
      </c>
      <c r="S3" s="20" t="str">
        <f>IF(15&gt;DAY(EOMONTH(DATE(Setup!$B$4,1,1),0)),"",TEXT(DATE(Setup!$B$4,1,15),"ddd"))</f>
        <v>Thu</v>
      </c>
      <c r="T3" s="20" t="str">
        <f>IF(16&gt;DAY(EOMONTH(DATE(Setup!$B$4,1,1),0)),"",TEXT(DATE(Setup!$B$4,1,16),"ddd"))</f>
        <v>Fri</v>
      </c>
      <c r="U3" s="20" t="str">
        <f>IF(17&gt;DAY(EOMONTH(DATE(Setup!$B$4,1,1),0)),"",TEXT(DATE(Setup!$B$4,1,17),"ddd"))</f>
        <v>Sat</v>
      </c>
      <c r="V3" s="20" t="str">
        <f>IF(18&gt;DAY(EOMONTH(DATE(Setup!$B$4,1,1),0)),"",TEXT(DATE(Setup!$B$4,1,18),"ddd"))</f>
        <v>Sun</v>
      </c>
      <c r="W3" s="20" t="str">
        <f>IF(19&gt;DAY(EOMONTH(DATE(Setup!$B$4,1,1),0)),"",TEXT(DATE(Setup!$B$4,1,19),"ddd"))</f>
        <v>Mon</v>
      </c>
      <c r="X3" s="20" t="str">
        <f>IF(20&gt;DAY(EOMONTH(DATE(Setup!$B$4,1,1),0)),"",TEXT(DATE(Setup!$B$4,1,20),"ddd"))</f>
        <v>Tue</v>
      </c>
      <c r="Y3" s="20" t="str">
        <f>IF(21&gt;DAY(EOMONTH(DATE(Setup!$B$4,1,1),0)),"",TEXT(DATE(Setup!$B$4,1,21),"ddd"))</f>
        <v>Wed</v>
      </c>
      <c r="Z3" s="20" t="str">
        <f>IF(22&gt;DAY(EOMONTH(DATE(Setup!$B$4,1,1),0)),"",TEXT(DATE(Setup!$B$4,1,22),"ddd"))</f>
        <v>Thu</v>
      </c>
      <c r="AA3" s="20" t="str">
        <f>IF(23&gt;DAY(EOMONTH(DATE(Setup!$B$4,1,1),0)),"",TEXT(DATE(Setup!$B$4,1,23),"ddd"))</f>
        <v>Fri</v>
      </c>
      <c r="AB3" s="20" t="str">
        <f>IF(24&gt;DAY(EOMONTH(DATE(Setup!$B$4,1,1),0)),"",TEXT(DATE(Setup!$B$4,1,24),"ddd"))</f>
        <v>Sat</v>
      </c>
      <c r="AC3" s="20" t="str">
        <f>IF(25&gt;DAY(EOMONTH(DATE(Setup!$B$4,1,1),0)),"",TEXT(DATE(Setup!$B$4,1,25),"ddd"))</f>
        <v>Sun</v>
      </c>
      <c r="AD3" s="20" t="str">
        <f>IF(26&gt;DAY(EOMONTH(DATE(Setup!$B$4,1,1),0)),"",TEXT(DATE(Setup!$B$4,1,26),"ddd"))</f>
        <v>Mon</v>
      </c>
      <c r="AE3" s="20" t="str">
        <f>IF(27&gt;DAY(EOMONTH(DATE(Setup!$B$4,1,1),0)),"",TEXT(DATE(Setup!$B$4,1,27),"ddd"))</f>
        <v>Tue</v>
      </c>
      <c r="AF3" s="20" t="str">
        <f>IF(28&gt;DAY(EOMONTH(DATE(Setup!$B$4,1,1),0)),"",TEXT(DATE(Setup!$B$4,1,28),"ddd"))</f>
        <v>Wed</v>
      </c>
      <c r="AG3" s="20" t="str">
        <f>IF(29&gt;DAY(EOMONTH(DATE(Setup!$B$4,1,1),0)),"",TEXT(DATE(Setup!$B$4,1,29),"ddd"))</f>
        <v>Thu</v>
      </c>
      <c r="AH3" s="20" t="str">
        <f>IF(30&gt;DAY(EOMONTH(DATE(Setup!$B$4,1,1),0)),"",TEXT(DATE(Setup!$B$4,1,30),"ddd"))</f>
        <v>Fri</v>
      </c>
      <c r="AI3" s="20" t="str">
        <f>IF(31&gt;DAY(EOMONTH(DATE(Setup!$B$4,1,1),0)),"",TEXT(DATE(Setup!$B$4,1,31),"ddd"))</f>
        <v>Sat</v>
      </c>
    </row>
    <row r="4" spans="1:40" ht="28.05" customHeight="1" x14ac:dyDescent="0.3">
      <c r="A4" s="13" t="s">
        <v>50</v>
      </c>
      <c r="B4" s="13" t="s">
        <v>37</v>
      </c>
      <c r="C4" s="13" t="s">
        <v>38</v>
      </c>
      <c r="D4" s="13" t="s">
        <v>51</v>
      </c>
      <c r="E4" s="13" t="s">
        <v>52</v>
      </c>
      <c r="F4" s="13" t="s">
        <v>53</v>
      </c>
      <c r="G4" s="13" t="s">
        <v>54</v>
      </c>
      <c r="H4" s="13" t="s">
        <v>55</v>
      </c>
      <c r="I4" s="13" t="s">
        <v>56</v>
      </c>
      <c r="J4" s="13" t="s">
        <v>57</v>
      </c>
      <c r="K4" s="13" t="s">
        <v>58</v>
      </c>
      <c r="L4" s="13" t="s">
        <v>59</v>
      </c>
      <c r="M4" s="13" t="s">
        <v>60</v>
      </c>
      <c r="N4" s="13" t="s">
        <v>61</v>
      </c>
      <c r="O4" s="13" t="s">
        <v>62</v>
      </c>
      <c r="P4" s="13" t="s">
        <v>63</v>
      </c>
      <c r="Q4" s="13" t="s">
        <v>64</v>
      </c>
      <c r="R4" s="13" t="s">
        <v>65</v>
      </c>
      <c r="S4" s="13" t="s">
        <v>66</v>
      </c>
      <c r="T4" s="13" t="s">
        <v>67</v>
      </c>
      <c r="U4" s="13" t="s">
        <v>68</v>
      </c>
      <c r="V4" s="13" t="s">
        <v>69</v>
      </c>
      <c r="W4" s="13" t="s">
        <v>70</v>
      </c>
      <c r="X4" s="13" t="s">
        <v>71</v>
      </c>
      <c r="Y4" s="13" t="s">
        <v>72</v>
      </c>
      <c r="Z4" s="13" t="s">
        <v>73</v>
      </c>
      <c r="AA4" s="13" t="s">
        <v>74</v>
      </c>
      <c r="AB4" s="13" t="s">
        <v>75</v>
      </c>
      <c r="AC4" s="13" t="s">
        <v>76</v>
      </c>
      <c r="AD4" s="13" t="s">
        <v>77</v>
      </c>
      <c r="AE4" s="13" t="s">
        <v>78</v>
      </c>
      <c r="AF4" s="13" t="s">
        <v>79</v>
      </c>
      <c r="AG4" s="13" t="s">
        <v>80</v>
      </c>
      <c r="AH4" s="13" t="s">
        <v>81</v>
      </c>
      <c r="AI4" s="13" t="s">
        <v>82</v>
      </c>
      <c r="AJ4" s="13" t="s">
        <v>83</v>
      </c>
      <c r="AK4" s="13" t="s">
        <v>84</v>
      </c>
      <c r="AL4" s="13" t="s">
        <v>85</v>
      </c>
      <c r="AM4" s="13" t="s">
        <v>86</v>
      </c>
      <c r="AN4" s="13" t="s">
        <v>87</v>
      </c>
    </row>
    <row r="5" spans="1:40" x14ac:dyDescent="0.3">
      <c r="A5" s="14" t="str">
        <f>IF(INDEX(Workers!$B:$B,ROW())="","",INDEX(Workers!$B:$B,ROW()))</f>
        <v>W-01</v>
      </c>
      <c r="B5" s="21" t="str">
        <f>IF(INDEX(Workers!$C:$C,ROW())="","",INDEX(Workers!$C:$C,ROW()))</f>
        <v>Ramesh (EXAMPLE, clear me)</v>
      </c>
      <c r="C5" s="21" t="str">
        <f>IF(INDEX(Workers!$D:$D,ROW())="","",INDEX(Workers!$D:$D,ROW()))</f>
        <v>Mason</v>
      </c>
      <c r="D5" s="22">
        <f>IF(INDEX(Workers!$E:$E,ROW())="","",INDEX(Workers!$E:$E,ROW()))</f>
        <v>900</v>
      </c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4">
        <f t="shared" ref="AJ5:AJ44" si="0">IF(B5="","",SUMPRODUCT((E$3:AI$3&lt;&gt;"")*(E5:AI5="P"))+0.5*SUMPRODUCT((E$3:AI$3&lt;&gt;"")*(E5:AI5="H"))+SUMPRODUCT((E$3:AI$3&lt;&gt;"")*ISNUMBER(E5:AI5)))</f>
        <v>0</v>
      </c>
      <c r="AK5" s="24">
        <f t="shared" ref="AK5:AK44" si="1">IF(B5="","",SUMPRODUCT((E$3:AI$3&lt;&gt;"")*ISNUMBER(E5:AI5),E5:AI5))</f>
        <v>0</v>
      </c>
      <c r="AL5" s="25">
        <f>IF(B5="","",AJ5*N(D5)+AK5*N(D5)/Setup!$B$6*Setup!$B$7)</f>
        <v>0</v>
      </c>
      <c r="AM5" s="25">
        <f>IF(B5="","",SUMIFS(Payments!$D$5:$D$304,Payments!$B$5:$B$304,A5,Payments!$A$5:$A$304,"&gt;="&amp;DATE(Setup!$B$4,1,1),Payments!$A$5:$A$304,"&lt;="&amp;EOMONTH(DATE(Setup!$B$4,1,1),0)))</f>
        <v>0</v>
      </c>
      <c r="AN5" s="25">
        <f t="shared" ref="AN5:AN44" si="2">IF(B5="","",AL5-AM5)</f>
        <v>0</v>
      </c>
    </row>
    <row r="6" spans="1:40" x14ac:dyDescent="0.3">
      <c r="A6" s="14" t="str">
        <f>IF(INDEX(Workers!$B:$B,ROW())="","",INDEX(Workers!$B:$B,ROW()))</f>
        <v/>
      </c>
      <c r="B6" s="21" t="str">
        <f>IF(INDEX(Workers!$C:$C,ROW())="","",INDEX(Workers!$C:$C,ROW()))</f>
        <v/>
      </c>
      <c r="C6" s="21" t="str">
        <f>IF(INDEX(Workers!$D:$D,ROW())="","",INDEX(Workers!$D:$D,ROW()))</f>
        <v/>
      </c>
      <c r="D6" s="22" t="str">
        <f>IF(INDEX(Workers!$E:$E,ROW())="","",INDEX(Workers!$E:$E,ROW()))</f>
        <v/>
      </c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4" t="str">
        <f t="shared" si="0"/>
        <v/>
      </c>
      <c r="AK6" s="24" t="str">
        <f t="shared" si="1"/>
        <v/>
      </c>
      <c r="AL6" s="25" t="str">
        <f>IF(B6="","",AJ6*N(D6)+AK6*N(D6)/Setup!$B$6*Setup!$B$7)</f>
        <v/>
      </c>
      <c r="AM6" s="25" t="str">
        <f>IF(B6="","",SUMIFS(Payments!$D$5:$D$304,Payments!$B$5:$B$304,A6,Payments!$A$5:$A$304,"&gt;="&amp;DATE(Setup!$B$4,1,1),Payments!$A$5:$A$304,"&lt;="&amp;EOMONTH(DATE(Setup!$B$4,1,1),0)))</f>
        <v/>
      </c>
      <c r="AN6" s="25" t="str">
        <f t="shared" si="2"/>
        <v/>
      </c>
    </row>
    <row r="7" spans="1:40" x14ac:dyDescent="0.3">
      <c r="A7" s="14" t="str">
        <f>IF(INDEX(Workers!$B:$B,ROW())="","",INDEX(Workers!$B:$B,ROW()))</f>
        <v/>
      </c>
      <c r="B7" s="21" t="str">
        <f>IF(INDEX(Workers!$C:$C,ROW())="","",INDEX(Workers!$C:$C,ROW()))</f>
        <v/>
      </c>
      <c r="C7" s="21" t="str">
        <f>IF(INDEX(Workers!$D:$D,ROW())="","",INDEX(Workers!$D:$D,ROW()))</f>
        <v/>
      </c>
      <c r="D7" s="22" t="str">
        <f>IF(INDEX(Workers!$E:$E,ROW())="","",INDEX(Workers!$E:$E,ROW()))</f>
        <v/>
      </c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4" t="str">
        <f t="shared" si="0"/>
        <v/>
      </c>
      <c r="AK7" s="24" t="str">
        <f t="shared" si="1"/>
        <v/>
      </c>
      <c r="AL7" s="25" t="str">
        <f>IF(B7="","",AJ7*N(D7)+AK7*N(D7)/Setup!$B$6*Setup!$B$7)</f>
        <v/>
      </c>
      <c r="AM7" s="25" t="str">
        <f>IF(B7="","",SUMIFS(Payments!$D$5:$D$304,Payments!$B$5:$B$304,A7,Payments!$A$5:$A$304,"&gt;="&amp;DATE(Setup!$B$4,1,1),Payments!$A$5:$A$304,"&lt;="&amp;EOMONTH(DATE(Setup!$B$4,1,1),0)))</f>
        <v/>
      </c>
      <c r="AN7" s="25" t="str">
        <f t="shared" si="2"/>
        <v/>
      </c>
    </row>
    <row r="8" spans="1:40" x14ac:dyDescent="0.3">
      <c r="A8" s="14" t="str">
        <f>IF(INDEX(Workers!$B:$B,ROW())="","",INDEX(Workers!$B:$B,ROW()))</f>
        <v/>
      </c>
      <c r="B8" s="21" t="str">
        <f>IF(INDEX(Workers!$C:$C,ROW())="","",INDEX(Workers!$C:$C,ROW()))</f>
        <v/>
      </c>
      <c r="C8" s="21" t="str">
        <f>IF(INDEX(Workers!$D:$D,ROW())="","",INDEX(Workers!$D:$D,ROW()))</f>
        <v/>
      </c>
      <c r="D8" s="22" t="str">
        <f>IF(INDEX(Workers!$E:$E,ROW())="","",INDEX(Workers!$E:$E,ROW()))</f>
        <v/>
      </c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4" t="str">
        <f t="shared" si="0"/>
        <v/>
      </c>
      <c r="AK8" s="24" t="str">
        <f t="shared" si="1"/>
        <v/>
      </c>
      <c r="AL8" s="25" t="str">
        <f>IF(B8="","",AJ8*N(D8)+AK8*N(D8)/Setup!$B$6*Setup!$B$7)</f>
        <v/>
      </c>
      <c r="AM8" s="25" t="str">
        <f>IF(B8="","",SUMIFS(Payments!$D$5:$D$304,Payments!$B$5:$B$304,A8,Payments!$A$5:$A$304,"&gt;="&amp;DATE(Setup!$B$4,1,1),Payments!$A$5:$A$304,"&lt;="&amp;EOMONTH(DATE(Setup!$B$4,1,1),0)))</f>
        <v/>
      </c>
      <c r="AN8" s="25" t="str">
        <f t="shared" si="2"/>
        <v/>
      </c>
    </row>
    <row r="9" spans="1:40" x14ac:dyDescent="0.3">
      <c r="A9" s="14" t="str">
        <f>IF(INDEX(Workers!$B:$B,ROW())="","",INDEX(Workers!$B:$B,ROW()))</f>
        <v/>
      </c>
      <c r="B9" s="21" t="str">
        <f>IF(INDEX(Workers!$C:$C,ROW())="","",INDEX(Workers!$C:$C,ROW()))</f>
        <v/>
      </c>
      <c r="C9" s="21" t="str">
        <f>IF(INDEX(Workers!$D:$D,ROW())="","",INDEX(Workers!$D:$D,ROW()))</f>
        <v/>
      </c>
      <c r="D9" s="22" t="str">
        <f>IF(INDEX(Workers!$E:$E,ROW())="","",INDEX(Workers!$E:$E,ROW()))</f>
        <v/>
      </c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4" t="str">
        <f t="shared" si="0"/>
        <v/>
      </c>
      <c r="AK9" s="24" t="str">
        <f t="shared" si="1"/>
        <v/>
      </c>
      <c r="AL9" s="25" t="str">
        <f>IF(B9="","",AJ9*N(D9)+AK9*N(D9)/Setup!$B$6*Setup!$B$7)</f>
        <v/>
      </c>
      <c r="AM9" s="25" t="str">
        <f>IF(B9="","",SUMIFS(Payments!$D$5:$D$304,Payments!$B$5:$B$304,A9,Payments!$A$5:$A$304,"&gt;="&amp;DATE(Setup!$B$4,1,1),Payments!$A$5:$A$304,"&lt;="&amp;EOMONTH(DATE(Setup!$B$4,1,1),0)))</f>
        <v/>
      </c>
      <c r="AN9" s="25" t="str">
        <f t="shared" si="2"/>
        <v/>
      </c>
    </row>
    <row r="10" spans="1:40" x14ac:dyDescent="0.3">
      <c r="A10" s="14" t="str">
        <f>IF(INDEX(Workers!$B:$B,ROW())="","",INDEX(Workers!$B:$B,ROW()))</f>
        <v/>
      </c>
      <c r="B10" s="21" t="str">
        <f>IF(INDEX(Workers!$C:$C,ROW())="","",INDEX(Workers!$C:$C,ROW()))</f>
        <v/>
      </c>
      <c r="C10" s="21" t="str">
        <f>IF(INDEX(Workers!$D:$D,ROW())="","",INDEX(Workers!$D:$D,ROW()))</f>
        <v/>
      </c>
      <c r="D10" s="22" t="str">
        <f>IF(INDEX(Workers!$E:$E,ROW())="","",INDEX(Workers!$E:$E,ROW()))</f>
        <v/>
      </c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4" t="str">
        <f t="shared" si="0"/>
        <v/>
      </c>
      <c r="AK10" s="24" t="str">
        <f t="shared" si="1"/>
        <v/>
      </c>
      <c r="AL10" s="25" t="str">
        <f>IF(B10="","",AJ10*N(D10)+AK10*N(D10)/Setup!$B$6*Setup!$B$7)</f>
        <v/>
      </c>
      <c r="AM10" s="25" t="str">
        <f>IF(B10="","",SUMIFS(Payments!$D$5:$D$304,Payments!$B$5:$B$304,A10,Payments!$A$5:$A$304,"&gt;="&amp;DATE(Setup!$B$4,1,1),Payments!$A$5:$A$304,"&lt;="&amp;EOMONTH(DATE(Setup!$B$4,1,1),0)))</f>
        <v/>
      </c>
      <c r="AN10" s="25" t="str">
        <f t="shared" si="2"/>
        <v/>
      </c>
    </row>
    <row r="11" spans="1:40" x14ac:dyDescent="0.3">
      <c r="A11" s="14" t="str">
        <f>IF(INDEX(Workers!$B:$B,ROW())="","",INDEX(Workers!$B:$B,ROW()))</f>
        <v/>
      </c>
      <c r="B11" s="21" t="str">
        <f>IF(INDEX(Workers!$C:$C,ROW())="","",INDEX(Workers!$C:$C,ROW()))</f>
        <v/>
      </c>
      <c r="C11" s="21" t="str">
        <f>IF(INDEX(Workers!$D:$D,ROW())="","",INDEX(Workers!$D:$D,ROW()))</f>
        <v/>
      </c>
      <c r="D11" s="22" t="str">
        <f>IF(INDEX(Workers!$E:$E,ROW())="","",INDEX(Workers!$E:$E,ROW()))</f>
        <v/>
      </c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4" t="str">
        <f t="shared" si="0"/>
        <v/>
      </c>
      <c r="AK11" s="24" t="str">
        <f t="shared" si="1"/>
        <v/>
      </c>
      <c r="AL11" s="25" t="str">
        <f>IF(B11="","",AJ11*N(D11)+AK11*N(D11)/Setup!$B$6*Setup!$B$7)</f>
        <v/>
      </c>
      <c r="AM11" s="25" t="str">
        <f>IF(B11="","",SUMIFS(Payments!$D$5:$D$304,Payments!$B$5:$B$304,A11,Payments!$A$5:$A$304,"&gt;="&amp;DATE(Setup!$B$4,1,1),Payments!$A$5:$A$304,"&lt;="&amp;EOMONTH(DATE(Setup!$B$4,1,1),0)))</f>
        <v/>
      </c>
      <c r="AN11" s="25" t="str">
        <f t="shared" si="2"/>
        <v/>
      </c>
    </row>
    <row r="12" spans="1:40" x14ac:dyDescent="0.3">
      <c r="A12" s="14" t="str">
        <f>IF(INDEX(Workers!$B:$B,ROW())="","",INDEX(Workers!$B:$B,ROW()))</f>
        <v/>
      </c>
      <c r="B12" s="21" t="str">
        <f>IF(INDEX(Workers!$C:$C,ROW())="","",INDEX(Workers!$C:$C,ROW()))</f>
        <v/>
      </c>
      <c r="C12" s="21" t="str">
        <f>IF(INDEX(Workers!$D:$D,ROW())="","",INDEX(Workers!$D:$D,ROW()))</f>
        <v/>
      </c>
      <c r="D12" s="22" t="str">
        <f>IF(INDEX(Workers!$E:$E,ROW())="","",INDEX(Workers!$E:$E,ROW()))</f>
        <v/>
      </c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4" t="str">
        <f t="shared" si="0"/>
        <v/>
      </c>
      <c r="AK12" s="24" t="str">
        <f t="shared" si="1"/>
        <v/>
      </c>
      <c r="AL12" s="25" t="str">
        <f>IF(B12="","",AJ12*N(D12)+AK12*N(D12)/Setup!$B$6*Setup!$B$7)</f>
        <v/>
      </c>
      <c r="AM12" s="25" t="str">
        <f>IF(B12="","",SUMIFS(Payments!$D$5:$D$304,Payments!$B$5:$B$304,A12,Payments!$A$5:$A$304,"&gt;="&amp;DATE(Setup!$B$4,1,1),Payments!$A$5:$A$304,"&lt;="&amp;EOMONTH(DATE(Setup!$B$4,1,1),0)))</f>
        <v/>
      </c>
      <c r="AN12" s="25" t="str">
        <f t="shared" si="2"/>
        <v/>
      </c>
    </row>
    <row r="13" spans="1:40" x14ac:dyDescent="0.3">
      <c r="A13" s="14" t="str">
        <f>IF(INDEX(Workers!$B:$B,ROW())="","",INDEX(Workers!$B:$B,ROW()))</f>
        <v/>
      </c>
      <c r="B13" s="21" t="str">
        <f>IF(INDEX(Workers!$C:$C,ROW())="","",INDEX(Workers!$C:$C,ROW()))</f>
        <v/>
      </c>
      <c r="C13" s="21" t="str">
        <f>IF(INDEX(Workers!$D:$D,ROW())="","",INDEX(Workers!$D:$D,ROW()))</f>
        <v/>
      </c>
      <c r="D13" s="22" t="str">
        <f>IF(INDEX(Workers!$E:$E,ROW())="","",INDEX(Workers!$E:$E,ROW()))</f>
        <v/>
      </c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4" t="str">
        <f t="shared" si="0"/>
        <v/>
      </c>
      <c r="AK13" s="24" t="str">
        <f t="shared" si="1"/>
        <v/>
      </c>
      <c r="AL13" s="25" t="str">
        <f>IF(B13="","",AJ13*N(D13)+AK13*N(D13)/Setup!$B$6*Setup!$B$7)</f>
        <v/>
      </c>
      <c r="AM13" s="25" t="str">
        <f>IF(B13="","",SUMIFS(Payments!$D$5:$D$304,Payments!$B$5:$B$304,A13,Payments!$A$5:$A$304,"&gt;="&amp;DATE(Setup!$B$4,1,1),Payments!$A$5:$A$304,"&lt;="&amp;EOMONTH(DATE(Setup!$B$4,1,1),0)))</f>
        <v/>
      </c>
      <c r="AN13" s="25" t="str">
        <f t="shared" si="2"/>
        <v/>
      </c>
    </row>
    <row r="14" spans="1:40" x14ac:dyDescent="0.3">
      <c r="A14" s="14" t="str">
        <f>IF(INDEX(Workers!$B:$B,ROW())="","",INDEX(Workers!$B:$B,ROW()))</f>
        <v/>
      </c>
      <c r="B14" s="21" t="str">
        <f>IF(INDEX(Workers!$C:$C,ROW())="","",INDEX(Workers!$C:$C,ROW()))</f>
        <v/>
      </c>
      <c r="C14" s="21" t="str">
        <f>IF(INDEX(Workers!$D:$D,ROW())="","",INDEX(Workers!$D:$D,ROW()))</f>
        <v/>
      </c>
      <c r="D14" s="22" t="str">
        <f>IF(INDEX(Workers!$E:$E,ROW())="","",INDEX(Workers!$E:$E,ROW()))</f>
        <v/>
      </c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4" t="str">
        <f t="shared" si="0"/>
        <v/>
      </c>
      <c r="AK14" s="24" t="str">
        <f t="shared" si="1"/>
        <v/>
      </c>
      <c r="AL14" s="25" t="str">
        <f>IF(B14="","",AJ14*N(D14)+AK14*N(D14)/Setup!$B$6*Setup!$B$7)</f>
        <v/>
      </c>
      <c r="AM14" s="25" t="str">
        <f>IF(B14="","",SUMIFS(Payments!$D$5:$D$304,Payments!$B$5:$B$304,A14,Payments!$A$5:$A$304,"&gt;="&amp;DATE(Setup!$B$4,1,1),Payments!$A$5:$A$304,"&lt;="&amp;EOMONTH(DATE(Setup!$B$4,1,1),0)))</f>
        <v/>
      </c>
      <c r="AN14" s="25" t="str">
        <f t="shared" si="2"/>
        <v/>
      </c>
    </row>
    <row r="15" spans="1:40" x14ac:dyDescent="0.3">
      <c r="A15" s="14" t="str">
        <f>IF(INDEX(Workers!$B:$B,ROW())="","",INDEX(Workers!$B:$B,ROW()))</f>
        <v/>
      </c>
      <c r="B15" s="21" t="str">
        <f>IF(INDEX(Workers!$C:$C,ROW())="","",INDEX(Workers!$C:$C,ROW()))</f>
        <v/>
      </c>
      <c r="C15" s="21" t="str">
        <f>IF(INDEX(Workers!$D:$D,ROW())="","",INDEX(Workers!$D:$D,ROW()))</f>
        <v/>
      </c>
      <c r="D15" s="22" t="str">
        <f>IF(INDEX(Workers!$E:$E,ROW())="","",INDEX(Workers!$E:$E,ROW()))</f>
        <v/>
      </c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4" t="str">
        <f t="shared" si="0"/>
        <v/>
      </c>
      <c r="AK15" s="24" t="str">
        <f t="shared" si="1"/>
        <v/>
      </c>
      <c r="AL15" s="25" t="str">
        <f>IF(B15="","",AJ15*N(D15)+AK15*N(D15)/Setup!$B$6*Setup!$B$7)</f>
        <v/>
      </c>
      <c r="AM15" s="25" t="str">
        <f>IF(B15="","",SUMIFS(Payments!$D$5:$D$304,Payments!$B$5:$B$304,A15,Payments!$A$5:$A$304,"&gt;="&amp;DATE(Setup!$B$4,1,1),Payments!$A$5:$A$304,"&lt;="&amp;EOMONTH(DATE(Setup!$B$4,1,1),0)))</f>
        <v/>
      </c>
      <c r="AN15" s="25" t="str">
        <f t="shared" si="2"/>
        <v/>
      </c>
    </row>
    <row r="16" spans="1:40" x14ac:dyDescent="0.3">
      <c r="A16" s="14" t="str">
        <f>IF(INDEX(Workers!$B:$B,ROW())="","",INDEX(Workers!$B:$B,ROW()))</f>
        <v/>
      </c>
      <c r="B16" s="21" t="str">
        <f>IF(INDEX(Workers!$C:$C,ROW())="","",INDEX(Workers!$C:$C,ROW()))</f>
        <v/>
      </c>
      <c r="C16" s="21" t="str">
        <f>IF(INDEX(Workers!$D:$D,ROW())="","",INDEX(Workers!$D:$D,ROW()))</f>
        <v/>
      </c>
      <c r="D16" s="22" t="str">
        <f>IF(INDEX(Workers!$E:$E,ROW())="","",INDEX(Workers!$E:$E,ROW()))</f>
        <v/>
      </c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4" t="str">
        <f t="shared" si="0"/>
        <v/>
      </c>
      <c r="AK16" s="24" t="str">
        <f t="shared" si="1"/>
        <v/>
      </c>
      <c r="AL16" s="25" t="str">
        <f>IF(B16="","",AJ16*N(D16)+AK16*N(D16)/Setup!$B$6*Setup!$B$7)</f>
        <v/>
      </c>
      <c r="AM16" s="25" t="str">
        <f>IF(B16="","",SUMIFS(Payments!$D$5:$D$304,Payments!$B$5:$B$304,A16,Payments!$A$5:$A$304,"&gt;="&amp;DATE(Setup!$B$4,1,1),Payments!$A$5:$A$304,"&lt;="&amp;EOMONTH(DATE(Setup!$B$4,1,1),0)))</f>
        <v/>
      </c>
      <c r="AN16" s="25" t="str">
        <f t="shared" si="2"/>
        <v/>
      </c>
    </row>
    <row r="17" spans="1:40" x14ac:dyDescent="0.3">
      <c r="A17" s="14" t="str">
        <f>IF(INDEX(Workers!$B:$B,ROW())="","",INDEX(Workers!$B:$B,ROW()))</f>
        <v/>
      </c>
      <c r="B17" s="21" t="str">
        <f>IF(INDEX(Workers!$C:$C,ROW())="","",INDEX(Workers!$C:$C,ROW()))</f>
        <v/>
      </c>
      <c r="C17" s="21" t="str">
        <f>IF(INDEX(Workers!$D:$D,ROW())="","",INDEX(Workers!$D:$D,ROW()))</f>
        <v/>
      </c>
      <c r="D17" s="22" t="str">
        <f>IF(INDEX(Workers!$E:$E,ROW())="","",INDEX(Workers!$E:$E,ROW()))</f>
        <v/>
      </c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4" t="str">
        <f t="shared" si="0"/>
        <v/>
      </c>
      <c r="AK17" s="24" t="str">
        <f t="shared" si="1"/>
        <v/>
      </c>
      <c r="AL17" s="25" t="str">
        <f>IF(B17="","",AJ17*N(D17)+AK17*N(D17)/Setup!$B$6*Setup!$B$7)</f>
        <v/>
      </c>
      <c r="AM17" s="25" t="str">
        <f>IF(B17="","",SUMIFS(Payments!$D$5:$D$304,Payments!$B$5:$B$304,A17,Payments!$A$5:$A$304,"&gt;="&amp;DATE(Setup!$B$4,1,1),Payments!$A$5:$A$304,"&lt;="&amp;EOMONTH(DATE(Setup!$B$4,1,1),0)))</f>
        <v/>
      </c>
      <c r="AN17" s="25" t="str">
        <f t="shared" si="2"/>
        <v/>
      </c>
    </row>
    <row r="18" spans="1:40" x14ac:dyDescent="0.3">
      <c r="A18" s="14" t="str">
        <f>IF(INDEX(Workers!$B:$B,ROW())="","",INDEX(Workers!$B:$B,ROW()))</f>
        <v/>
      </c>
      <c r="B18" s="21" t="str">
        <f>IF(INDEX(Workers!$C:$C,ROW())="","",INDEX(Workers!$C:$C,ROW()))</f>
        <v/>
      </c>
      <c r="C18" s="21" t="str">
        <f>IF(INDEX(Workers!$D:$D,ROW())="","",INDEX(Workers!$D:$D,ROW()))</f>
        <v/>
      </c>
      <c r="D18" s="22" t="str">
        <f>IF(INDEX(Workers!$E:$E,ROW())="","",INDEX(Workers!$E:$E,ROW()))</f>
        <v/>
      </c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4" t="str">
        <f t="shared" si="0"/>
        <v/>
      </c>
      <c r="AK18" s="24" t="str">
        <f t="shared" si="1"/>
        <v/>
      </c>
      <c r="AL18" s="25" t="str">
        <f>IF(B18="","",AJ18*N(D18)+AK18*N(D18)/Setup!$B$6*Setup!$B$7)</f>
        <v/>
      </c>
      <c r="AM18" s="25" t="str">
        <f>IF(B18="","",SUMIFS(Payments!$D$5:$D$304,Payments!$B$5:$B$304,A18,Payments!$A$5:$A$304,"&gt;="&amp;DATE(Setup!$B$4,1,1),Payments!$A$5:$A$304,"&lt;="&amp;EOMONTH(DATE(Setup!$B$4,1,1),0)))</f>
        <v/>
      </c>
      <c r="AN18" s="25" t="str">
        <f t="shared" si="2"/>
        <v/>
      </c>
    </row>
    <row r="19" spans="1:40" x14ac:dyDescent="0.3">
      <c r="A19" s="14" t="str">
        <f>IF(INDEX(Workers!$B:$B,ROW())="","",INDEX(Workers!$B:$B,ROW()))</f>
        <v/>
      </c>
      <c r="B19" s="21" t="str">
        <f>IF(INDEX(Workers!$C:$C,ROW())="","",INDEX(Workers!$C:$C,ROW()))</f>
        <v/>
      </c>
      <c r="C19" s="21" t="str">
        <f>IF(INDEX(Workers!$D:$D,ROW())="","",INDEX(Workers!$D:$D,ROW()))</f>
        <v/>
      </c>
      <c r="D19" s="22" t="str">
        <f>IF(INDEX(Workers!$E:$E,ROW())="","",INDEX(Workers!$E:$E,ROW()))</f>
        <v/>
      </c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4" t="str">
        <f t="shared" si="0"/>
        <v/>
      </c>
      <c r="AK19" s="24" t="str">
        <f t="shared" si="1"/>
        <v/>
      </c>
      <c r="AL19" s="25" t="str">
        <f>IF(B19="","",AJ19*N(D19)+AK19*N(D19)/Setup!$B$6*Setup!$B$7)</f>
        <v/>
      </c>
      <c r="AM19" s="25" t="str">
        <f>IF(B19="","",SUMIFS(Payments!$D$5:$D$304,Payments!$B$5:$B$304,A19,Payments!$A$5:$A$304,"&gt;="&amp;DATE(Setup!$B$4,1,1),Payments!$A$5:$A$304,"&lt;="&amp;EOMONTH(DATE(Setup!$B$4,1,1),0)))</f>
        <v/>
      </c>
      <c r="AN19" s="25" t="str">
        <f t="shared" si="2"/>
        <v/>
      </c>
    </row>
    <row r="20" spans="1:40" x14ac:dyDescent="0.3">
      <c r="A20" s="14" t="str">
        <f>IF(INDEX(Workers!$B:$B,ROW())="","",INDEX(Workers!$B:$B,ROW()))</f>
        <v/>
      </c>
      <c r="B20" s="21" t="str">
        <f>IF(INDEX(Workers!$C:$C,ROW())="","",INDEX(Workers!$C:$C,ROW()))</f>
        <v/>
      </c>
      <c r="C20" s="21" t="str">
        <f>IF(INDEX(Workers!$D:$D,ROW())="","",INDEX(Workers!$D:$D,ROW()))</f>
        <v/>
      </c>
      <c r="D20" s="22" t="str">
        <f>IF(INDEX(Workers!$E:$E,ROW())="","",INDEX(Workers!$E:$E,ROW()))</f>
        <v/>
      </c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4" t="str">
        <f t="shared" si="0"/>
        <v/>
      </c>
      <c r="AK20" s="24" t="str">
        <f t="shared" si="1"/>
        <v/>
      </c>
      <c r="AL20" s="25" t="str">
        <f>IF(B20="","",AJ20*N(D20)+AK20*N(D20)/Setup!$B$6*Setup!$B$7)</f>
        <v/>
      </c>
      <c r="AM20" s="25" t="str">
        <f>IF(B20="","",SUMIFS(Payments!$D$5:$D$304,Payments!$B$5:$B$304,A20,Payments!$A$5:$A$304,"&gt;="&amp;DATE(Setup!$B$4,1,1),Payments!$A$5:$A$304,"&lt;="&amp;EOMONTH(DATE(Setup!$B$4,1,1),0)))</f>
        <v/>
      </c>
      <c r="AN20" s="25" t="str">
        <f t="shared" si="2"/>
        <v/>
      </c>
    </row>
    <row r="21" spans="1:40" x14ac:dyDescent="0.3">
      <c r="A21" s="14" t="str">
        <f>IF(INDEX(Workers!$B:$B,ROW())="","",INDEX(Workers!$B:$B,ROW()))</f>
        <v/>
      </c>
      <c r="B21" s="21" t="str">
        <f>IF(INDEX(Workers!$C:$C,ROW())="","",INDEX(Workers!$C:$C,ROW()))</f>
        <v/>
      </c>
      <c r="C21" s="21" t="str">
        <f>IF(INDEX(Workers!$D:$D,ROW())="","",INDEX(Workers!$D:$D,ROW()))</f>
        <v/>
      </c>
      <c r="D21" s="22" t="str">
        <f>IF(INDEX(Workers!$E:$E,ROW())="","",INDEX(Workers!$E:$E,ROW()))</f>
        <v/>
      </c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4" t="str">
        <f t="shared" si="0"/>
        <v/>
      </c>
      <c r="AK21" s="24" t="str">
        <f t="shared" si="1"/>
        <v/>
      </c>
      <c r="AL21" s="25" t="str">
        <f>IF(B21="","",AJ21*N(D21)+AK21*N(D21)/Setup!$B$6*Setup!$B$7)</f>
        <v/>
      </c>
      <c r="AM21" s="25" t="str">
        <f>IF(B21="","",SUMIFS(Payments!$D$5:$D$304,Payments!$B$5:$B$304,A21,Payments!$A$5:$A$304,"&gt;="&amp;DATE(Setup!$B$4,1,1),Payments!$A$5:$A$304,"&lt;="&amp;EOMONTH(DATE(Setup!$B$4,1,1),0)))</f>
        <v/>
      </c>
      <c r="AN21" s="25" t="str">
        <f t="shared" si="2"/>
        <v/>
      </c>
    </row>
    <row r="22" spans="1:40" x14ac:dyDescent="0.3">
      <c r="A22" s="14" t="str">
        <f>IF(INDEX(Workers!$B:$B,ROW())="","",INDEX(Workers!$B:$B,ROW()))</f>
        <v/>
      </c>
      <c r="B22" s="21" t="str">
        <f>IF(INDEX(Workers!$C:$C,ROW())="","",INDEX(Workers!$C:$C,ROW()))</f>
        <v/>
      </c>
      <c r="C22" s="21" t="str">
        <f>IF(INDEX(Workers!$D:$D,ROW())="","",INDEX(Workers!$D:$D,ROW()))</f>
        <v/>
      </c>
      <c r="D22" s="22" t="str">
        <f>IF(INDEX(Workers!$E:$E,ROW())="","",INDEX(Workers!$E:$E,ROW()))</f>
        <v/>
      </c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4" t="str">
        <f t="shared" si="0"/>
        <v/>
      </c>
      <c r="AK22" s="24" t="str">
        <f t="shared" si="1"/>
        <v/>
      </c>
      <c r="AL22" s="25" t="str">
        <f>IF(B22="","",AJ22*N(D22)+AK22*N(D22)/Setup!$B$6*Setup!$B$7)</f>
        <v/>
      </c>
      <c r="AM22" s="25" t="str">
        <f>IF(B22="","",SUMIFS(Payments!$D$5:$D$304,Payments!$B$5:$B$304,A22,Payments!$A$5:$A$304,"&gt;="&amp;DATE(Setup!$B$4,1,1),Payments!$A$5:$A$304,"&lt;="&amp;EOMONTH(DATE(Setup!$B$4,1,1),0)))</f>
        <v/>
      </c>
      <c r="AN22" s="25" t="str">
        <f t="shared" si="2"/>
        <v/>
      </c>
    </row>
    <row r="23" spans="1:40" x14ac:dyDescent="0.3">
      <c r="A23" s="14" t="str">
        <f>IF(INDEX(Workers!$B:$B,ROW())="","",INDEX(Workers!$B:$B,ROW()))</f>
        <v/>
      </c>
      <c r="B23" s="21" t="str">
        <f>IF(INDEX(Workers!$C:$C,ROW())="","",INDEX(Workers!$C:$C,ROW()))</f>
        <v/>
      </c>
      <c r="C23" s="21" t="str">
        <f>IF(INDEX(Workers!$D:$D,ROW())="","",INDEX(Workers!$D:$D,ROW()))</f>
        <v/>
      </c>
      <c r="D23" s="22" t="str">
        <f>IF(INDEX(Workers!$E:$E,ROW())="","",INDEX(Workers!$E:$E,ROW()))</f>
        <v/>
      </c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4" t="str">
        <f t="shared" si="0"/>
        <v/>
      </c>
      <c r="AK23" s="24" t="str">
        <f t="shared" si="1"/>
        <v/>
      </c>
      <c r="AL23" s="25" t="str">
        <f>IF(B23="","",AJ23*N(D23)+AK23*N(D23)/Setup!$B$6*Setup!$B$7)</f>
        <v/>
      </c>
      <c r="AM23" s="25" t="str">
        <f>IF(B23="","",SUMIFS(Payments!$D$5:$D$304,Payments!$B$5:$B$304,A23,Payments!$A$5:$A$304,"&gt;="&amp;DATE(Setup!$B$4,1,1),Payments!$A$5:$A$304,"&lt;="&amp;EOMONTH(DATE(Setup!$B$4,1,1),0)))</f>
        <v/>
      </c>
      <c r="AN23" s="25" t="str">
        <f t="shared" si="2"/>
        <v/>
      </c>
    </row>
    <row r="24" spans="1:40" x14ac:dyDescent="0.3">
      <c r="A24" s="14" t="str">
        <f>IF(INDEX(Workers!$B:$B,ROW())="","",INDEX(Workers!$B:$B,ROW()))</f>
        <v/>
      </c>
      <c r="B24" s="21" t="str">
        <f>IF(INDEX(Workers!$C:$C,ROW())="","",INDEX(Workers!$C:$C,ROW()))</f>
        <v/>
      </c>
      <c r="C24" s="21" t="str">
        <f>IF(INDEX(Workers!$D:$D,ROW())="","",INDEX(Workers!$D:$D,ROW()))</f>
        <v/>
      </c>
      <c r="D24" s="22" t="str">
        <f>IF(INDEX(Workers!$E:$E,ROW())="","",INDEX(Workers!$E:$E,ROW()))</f>
        <v/>
      </c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4" t="str">
        <f t="shared" si="0"/>
        <v/>
      </c>
      <c r="AK24" s="24" t="str">
        <f t="shared" si="1"/>
        <v/>
      </c>
      <c r="AL24" s="25" t="str">
        <f>IF(B24="","",AJ24*N(D24)+AK24*N(D24)/Setup!$B$6*Setup!$B$7)</f>
        <v/>
      </c>
      <c r="AM24" s="25" t="str">
        <f>IF(B24="","",SUMIFS(Payments!$D$5:$D$304,Payments!$B$5:$B$304,A24,Payments!$A$5:$A$304,"&gt;="&amp;DATE(Setup!$B$4,1,1),Payments!$A$5:$A$304,"&lt;="&amp;EOMONTH(DATE(Setup!$B$4,1,1),0)))</f>
        <v/>
      </c>
      <c r="AN24" s="25" t="str">
        <f t="shared" si="2"/>
        <v/>
      </c>
    </row>
    <row r="25" spans="1:40" x14ac:dyDescent="0.3">
      <c r="A25" s="14" t="str">
        <f>IF(INDEX(Workers!$B:$B,ROW())="","",INDEX(Workers!$B:$B,ROW()))</f>
        <v/>
      </c>
      <c r="B25" s="21" t="str">
        <f>IF(INDEX(Workers!$C:$C,ROW())="","",INDEX(Workers!$C:$C,ROW()))</f>
        <v/>
      </c>
      <c r="C25" s="21" t="str">
        <f>IF(INDEX(Workers!$D:$D,ROW())="","",INDEX(Workers!$D:$D,ROW()))</f>
        <v/>
      </c>
      <c r="D25" s="22" t="str">
        <f>IF(INDEX(Workers!$E:$E,ROW())="","",INDEX(Workers!$E:$E,ROW()))</f>
        <v/>
      </c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4" t="str">
        <f t="shared" si="0"/>
        <v/>
      </c>
      <c r="AK25" s="24" t="str">
        <f t="shared" si="1"/>
        <v/>
      </c>
      <c r="AL25" s="25" t="str">
        <f>IF(B25="","",AJ25*N(D25)+AK25*N(D25)/Setup!$B$6*Setup!$B$7)</f>
        <v/>
      </c>
      <c r="AM25" s="25" t="str">
        <f>IF(B25="","",SUMIFS(Payments!$D$5:$D$304,Payments!$B$5:$B$304,A25,Payments!$A$5:$A$304,"&gt;="&amp;DATE(Setup!$B$4,1,1),Payments!$A$5:$A$304,"&lt;="&amp;EOMONTH(DATE(Setup!$B$4,1,1),0)))</f>
        <v/>
      </c>
      <c r="AN25" s="25" t="str">
        <f t="shared" si="2"/>
        <v/>
      </c>
    </row>
    <row r="26" spans="1:40" x14ac:dyDescent="0.3">
      <c r="A26" s="14" t="str">
        <f>IF(INDEX(Workers!$B:$B,ROW())="","",INDEX(Workers!$B:$B,ROW()))</f>
        <v/>
      </c>
      <c r="B26" s="21" t="str">
        <f>IF(INDEX(Workers!$C:$C,ROW())="","",INDEX(Workers!$C:$C,ROW()))</f>
        <v/>
      </c>
      <c r="C26" s="21" t="str">
        <f>IF(INDEX(Workers!$D:$D,ROW())="","",INDEX(Workers!$D:$D,ROW()))</f>
        <v/>
      </c>
      <c r="D26" s="22" t="str">
        <f>IF(INDEX(Workers!$E:$E,ROW())="","",INDEX(Workers!$E:$E,ROW()))</f>
        <v/>
      </c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4" t="str">
        <f t="shared" si="0"/>
        <v/>
      </c>
      <c r="AK26" s="24" t="str">
        <f t="shared" si="1"/>
        <v/>
      </c>
      <c r="AL26" s="25" t="str">
        <f>IF(B26="","",AJ26*N(D26)+AK26*N(D26)/Setup!$B$6*Setup!$B$7)</f>
        <v/>
      </c>
      <c r="AM26" s="25" t="str">
        <f>IF(B26="","",SUMIFS(Payments!$D$5:$D$304,Payments!$B$5:$B$304,A26,Payments!$A$5:$A$304,"&gt;="&amp;DATE(Setup!$B$4,1,1),Payments!$A$5:$A$304,"&lt;="&amp;EOMONTH(DATE(Setup!$B$4,1,1),0)))</f>
        <v/>
      </c>
      <c r="AN26" s="25" t="str">
        <f t="shared" si="2"/>
        <v/>
      </c>
    </row>
    <row r="27" spans="1:40" x14ac:dyDescent="0.3">
      <c r="A27" s="14" t="str">
        <f>IF(INDEX(Workers!$B:$B,ROW())="","",INDEX(Workers!$B:$B,ROW()))</f>
        <v/>
      </c>
      <c r="B27" s="21" t="str">
        <f>IF(INDEX(Workers!$C:$C,ROW())="","",INDEX(Workers!$C:$C,ROW()))</f>
        <v/>
      </c>
      <c r="C27" s="21" t="str">
        <f>IF(INDEX(Workers!$D:$D,ROW())="","",INDEX(Workers!$D:$D,ROW()))</f>
        <v/>
      </c>
      <c r="D27" s="22" t="str">
        <f>IF(INDEX(Workers!$E:$E,ROW())="","",INDEX(Workers!$E:$E,ROW()))</f>
        <v/>
      </c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4" t="str">
        <f t="shared" si="0"/>
        <v/>
      </c>
      <c r="AK27" s="24" t="str">
        <f t="shared" si="1"/>
        <v/>
      </c>
      <c r="AL27" s="25" t="str">
        <f>IF(B27="","",AJ27*N(D27)+AK27*N(D27)/Setup!$B$6*Setup!$B$7)</f>
        <v/>
      </c>
      <c r="AM27" s="25" t="str">
        <f>IF(B27="","",SUMIFS(Payments!$D$5:$D$304,Payments!$B$5:$B$304,A27,Payments!$A$5:$A$304,"&gt;="&amp;DATE(Setup!$B$4,1,1),Payments!$A$5:$A$304,"&lt;="&amp;EOMONTH(DATE(Setup!$B$4,1,1),0)))</f>
        <v/>
      </c>
      <c r="AN27" s="25" t="str">
        <f t="shared" si="2"/>
        <v/>
      </c>
    </row>
    <row r="28" spans="1:40" x14ac:dyDescent="0.3">
      <c r="A28" s="14" t="str">
        <f>IF(INDEX(Workers!$B:$B,ROW())="","",INDEX(Workers!$B:$B,ROW()))</f>
        <v/>
      </c>
      <c r="B28" s="21" t="str">
        <f>IF(INDEX(Workers!$C:$C,ROW())="","",INDEX(Workers!$C:$C,ROW()))</f>
        <v/>
      </c>
      <c r="C28" s="21" t="str">
        <f>IF(INDEX(Workers!$D:$D,ROW())="","",INDEX(Workers!$D:$D,ROW()))</f>
        <v/>
      </c>
      <c r="D28" s="22" t="str">
        <f>IF(INDEX(Workers!$E:$E,ROW())="","",INDEX(Workers!$E:$E,ROW()))</f>
        <v/>
      </c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4" t="str">
        <f t="shared" si="0"/>
        <v/>
      </c>
      <c r="AK28" s="24" t="str">
        <f t="shared" si="1"/>
        <v/>
      </c>
      <c r="AL28" s="25" t="str">
        <f>IF(B28="","",AJ28*N(D28)+AK28*N(D28)/Setup!$B$6*Setup!$B$7)</f>
        <v/>
      </c>
      <c r="AM28" s="25" t="str">
        <f>IF(B28="","",SUMIFS(Payments!$D$5:$D$304,Payments!$B$5:$B$304,A28,Payments!$A$5:$A$304,"&gt;="&amp;DATE(Setup!$B$4,1,1),Payments!$A$5:$A$304,"&lt;="&amp;EOMONTH(DATE(Setup!$B$4,1,1),0)))</f>
        <v/>
      </c>
      <c r="AN28" s="25" t="str">
        <f t="shared" si="2"/>
        <v/>
      </c>
    </row>
    <row r="29" spans="1:40" x14ac:dyDescent="0.3">
      <c r="A29" s="14" t="str">
        <f>IF(INDEX(Workers!$B:$B,ROW())="","",INDEX(Workers!$B:$B,ROW()))</f>
        <v/>
      </c>
      <c r="B29" s="21" t="str">
        <f>IF(INDEX(Workers!$C:$C,ROW())="","",INDEX(Workers!$C:$C,ROW()))</f>
        <v/>
      </c>
      <c r="C29" s="21" t="str">
        <f>IF(INDEX(Workers!$D:$D,ROW())="","",INDEX(Workers!$D:$D,ROW()))</f>
        <v/>
      </c>
      <c r="D29" s="22" t="str">
        <f>IF(INDEX(Workers!$E:$E,ROW())="","",INDEX(Workers!$E:$E,ROW()))</f>
        <v/>
      </c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4" t="str">
        <f t="shared" si="0"/>
        <v/>
      </c>
      <c r="AK29" s="24" t="str">
        <f t="shared" si="1"/>
        <v/>
      </c>
      <c r="AL29" s="25" t="str">
        <f>IF(B29="","",AJ29*N(D29)+AK29*N(D29)/Setup!$B$6*Setup!$B$7)</f>
        <v/>
      </c>
      <c r="AM29" s="25" t="str">
        <f>IF(B29="","",SUMIFS(Payments!$D$5:$D$304,Payments!$B$5:$B$304,A29,Payments!$A$5:$A$304,"&gt;="&amp;DATE(Setup!$B$4,1,1),Payments!$A$5:$A$304,"&lt;="&amp;EOMONTH(DATE(Setup!$B$4,1,1),0)))</f>
        <v/>
      </c>
      <c r="AN29" s="25" t="str">
        <f t="shared" si="2"/>
        <v/>
      </c>
    </row>
    <row r="30" spans="1:40" x14ac:dyDescent="0.3">
      <c r="A30" s="14" t="str">
        <f>IF(INDEX(Workers!$B:$B,ROW())="","",INDEX(Workers!$B:$B,ROW()))</f>
        <v/>
      </c>
      <c r="B30" s="21" t="str">
        <f>IF(INDEX(Workers!$C:$C,ROW())="","",INDEX(Workers!$C:$C,ROW()))</f>
        <v/>
      </c>
      <c r="C30" s="21" t="str">
        <f>IF(INDEX(Workers!$D:$D,ROW())="","",INDEX(Workers!$D:$D,ROW()))</f>
        <v/>
      </c>
      <c r="D30" s="22" t="str">
        <f>IF(INDEX(Workers!$E:$E,ROW())="","",INDEX(Workers!$E:$E,ROW()))</f>
        <v/>
      </c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4" t="str">
        <f t="shared" si="0"/>
        <v/>
      </c>
      <c r="AK30" s="24" t="str">
        <f t="shared" si="1"/>
        <v/>
      </c>
      <c r="AL30" s="25" t="str">
        <f>IF(B30="","",AJ30*N(D30)+AK30*N(D30)/Setup!$B$6*Setup!$B$7)</f>
        <v/>
      </c>
      <c r="AM30" s="25" t="str">
        <f>IF(B30="","",SUMIFS(Payments!$D$5:$D$304,Payments!$B$5:$B$304,A30,Payments!$A$5:$A$304,"&gt;="&amp;DATE(Setup!$B$4,1,1),Payments!$A$5:$A$304,"&lt;="&amp;EOMONTH(DATE(Setup!$B$4,1,1),0)))</f>
        <v/>
      </c>
      <c r="AN30" s="25" t="str">
        <f t="shared" si="2"/>
        <v/>
      </c>
    </row>
    <row r="31" spans="1:40" x14ac:dyDescent="0.3">
      <c r="A31" s="14" t="str">
        <f>IF(INDEX(Workers!$B:$B,ROW())="","",INDEX(Workers!$B:$B,ROW()))</f>
        <v/>
      </c>
      <c r="B31" s="21" t="str">
        <f>IF(INDEX(Workers!$C:$C,ROW())="","",INDEX(Workers!$C:$C,ROW()))</f>
        <v/>
      </c>
      <c r="C31" s="21" t="str">
        <f>IF(INDEX(Workers!$D:$D,ROW())="","",INDEX(Workers!$D:$D,ROW()))</f>
        <v/>
      </c>
      <c r="D31" s="22" t="str">
        <f>IF(INDEX(Workers!$E:$E,ROW())="","",INDEX(Workers!$E:$E,ROW()))</f>
        <v/>
      </c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4" t="str">
        <f t="shared" si="0"/>
        <v/>
      </c>
      <c r="AK31" s="24" t="str">
        <f t="shared" si="1"/>
        <v/>
      </c>
      <c r="AL31" s="25" t="str">
        <f>IF(B31="","",AJ31*N(D31)+AK31*N(D31)/Setup!$B$6*Setup!$B$7)</f>
        <v/>
      </c>
      <c r="AM31" s="25" t="str">
        <f>IF(B31="","",SUMIFS(Payments!$D$5:$D$304,Payments!$B$5:$B$304,A31,Payments!$A$5:$A$304,"&gt;="&amp;DATE(Setup!$B$4,1,1),Payments!$A$5:$A$304,"&lt;="&amp;EOMONTH(DATE(Setup!$B$4,1,1),0)))</f>
        <v/>
      </c>
      <c r="AN31" s="25" t="str">
        <f t="shared" si="2"/>
        <v/>
      </c>
    </row>
    <row r="32" spans="1:40" x14ac:dyDescent="0.3">
      <c r="A32" s="14" t="str">
        <f>IF(INDEX(Workers!$B:$B,ROW())="","",INDEX(Workers!$B:$B,ROW()))</f>
        <v/>
      </c>
      <c r="B32" s="21" t="str">
        <f>IF(INDEX(Workers!$C:$C,ROW())="","",INDEX(Workers!$C:$C,ROW()))</f>
        <v/>
      </c>
      <c r="C32" s="21" t="str">
        <f>IF(INDEX(Workers!$D:$D,ROW())="","",INDEX(Workers!$D:$D,ROW()))</f>
        <v/>
      </c>
      <c r="D32" s="22" t="str">
        <f>IF(INDEX(Workers!$E:$E,ROW())="","",INDEX(Workers!$E:$E,ROW()))</f>
        <v/>
      </c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4" t="str">
        <f t="shared" si="0"/>
        <v/>
      </c>
      <c r="AK32" s="24" t="str">
        <f t="shared" si="1"/>
        <v/>
      </c>
      <c r="AL32" s="25" t="str">
        <f>IF(B32="","",AJ32*N(D32)+AK32*N(D32)/Setup!$B$6*Setup!$B$7)</f>
        <v/>
      </c>
      <c r="AM32" s="25" t="str">
        <f>IF(B32="","",SUMIFS(Payments!$D$5:$D$304,Payments!$B$5:$B$304,A32,Payments!$A$5:$A$304,"&gt;="&amp;DATE(Setup!$B$4,1,1),Payments!$A$5:$A$304,"&lt;="&amp;EOMONTH(DATE(Setup!$B$4,1,1),0)))</f>
        <v/>
      </c>
      <c r="AN32" s="25" t="str">
        <f t="shared" si="2"/>
        <v/>
      </c>
    </row>
    <row r="33" spans="1:40" x14ac:dyDescent="0.3">
      <c r="A33" s="14" t="str">
        <f>IF(INDEX(Workers!$B:$B,ROW())="","",INDEX(Workers!$B:$B,ROW()))</f>
        <v/>
      </c>
      <c r="B33" s="21" t="str">
        <f>IF(INDEX(Workers!$C:$C,ROW())="","",INDEX(Workers!$C:$C,ROW()))</f>
        <v/>
      </c>
      <c r="C33" s="21" t="str">
        <f>IF(INDEX(Workers!$D:$D,ROW())="","",INDEX(Workers!$D:$D,ROW()))</f>
        <v/>
      </c>
      <c r="D33" s="22" t="str">
        <f>IF(INDEX(Workers!$E:$E,ROW())="","",INDEX(Workers!$E:$E,ROW()))</f>
        <v/>
      </c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4" t="str">
        <f t="shared" si="0"/>
        <v/>
      </c>
      <c r="AK33" s="24" t="str">
        <f t="shared" si="1"/>
        <v/>
      </c>
      <c r="AL33" s="25" t="str">
        <f>IF(B33="","",AJ33*N(D33)+AK33*N(D33)/Setup!$B$6*Setup!$B$7)</f>
        <v/>
      </c>
      <c r="AM33" s="25" t="str">
        <f>IF(B33="","",SUMIFS(Payments!$D$5:$D$304,Payments!$B$5:$B$304,A33,Payments!$A$5:$A$304,"&gt;="&amp;DATE(Setup!$B$4,1,1),Payments!$A$5:$A$304,"&lt;="&amp;EOMONTH(DATE(Setup!$B$4,1,1),0)))</f>
        <v/>
      </c>
      <c r="AN33" s="25" t="str">
        <f t="shared" si="2"/>
        <v/>
      </c>
    </row>
    <row r="34" spans="1:40" x14ac:dyDescent="0.3">
      <c r="A34" s="14" t="str">
        <f>IF(INDEX(Workers!$B:$B,ROW())="","",INDEX(Workers!$B:$B,ROW()))</f>
        <v/>
      </c>
      <c r="B34" s="21" t="str">
        <f>IF(INDEX(Workers!$C:$C,ROW())="","",INDEX(Workers!$C:$C,ROW()))</f>
        <v/>
      </c>
      <c r="C34" s="21" t="str">
        <f>IF(INDEX(Workers!$D:$D,ROW())="","",INDEX(Workers!$D:$D,ROW()))</f>
        <v/>
      </c>
      <c r="D34" s="22" t="str">
        <f>IF(INDEX(Workers!$E:$E,ROW())="","",INDEX(Workers!$E:$E,ROW()))</f>
        <v/>
      </c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4" t="str">
        <f t="shared" si="0"/>
        <v/>
      </c>
      <c r="AK34" s="24" t="str">
        <f t="shared" si="1"/>
        <v/>
      </c>
      <c r="AL34" s="25" t="str">
        <f>IF(B34="","",AJ34*N(D34)+AK34*N(D34)/Setup!$B$6*Setup!$B$7)</f>
        <v/>
      </c>
      <c r="AM34" s="25" t="str">
        <f>IF(B34="","",SUMIFS(Payments!$D$5:$D$304,Payments!$B$5:$B$304,A34,Payments!$A$5:$A$304,"&gt;="&amp;DATE(Setup!$B$4,1,1),Payments!$A$5:$A$304,"&lt;="&amp;EOMONTH(DATE(Setup!$B$4,1,1),0)))</f>
        <v/>
      </c>
      <c r="AN34" s="25" t="str">
        <f t="shared" si="2"/>
        <v/>
      </c>
    </row>
    <row r="35" spans="1:40" x14ac:dyDescent="0.3">
      <c r="A35" s="14" t="str">
        <f>IF(INDEX(Workers!$B:$B,ROW())="","",INDEX(Workers!$B:$B,ROW()))</f>
        <v/>
      </c>
      <c r="B35" s="21" t="str">
        <f>IF(INDEX(Workers!$C:$C,ROW())="","",INDEX(Workers!$C:$C,ROW()))</f>
        <v/>
      </c>
      <c r="C35" s="21" t="str">
        <f>IF(INDEX(Workers!$D:$D,ROW())="","",INDEX(Workers!$D:$D,ROW()))</f>
        <v/>
      </c>
      <c r="D35" s="22" t="str">
        <f>IF(INDEX(Workers!$E:$E,ROW())="","",INDEX(Workers!$E:$E,ROW()))</f>
        <v/>
      </c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4" t="str">
        <f t="shared" si="0"/>
        <v/>
      </c>
      <c r="AK35" s="24" t="str">
        <f t="shared" si="1"/>
        <v/>
      </c>
      <c r="AL35" s="25" t="str">
        <f>IF(B35="","",AJ35*N(D35)+AK35*N(D35)/Setup!$B$6*Setup!$B$7)</f>
        <v/>
      </c>
      <c r="AM35" s="25" t="str">
        <f>IF(B35="","",SUMIFS(Payments!$D$5:$D$304,Payments!$B$5:$B$304,A35,Payments!$A$5:$A$304,"&gt;="&amp;DATE(Setup!$B$4,1,1),Payments!$A$5:$A$304,"&lt;="&amp;EOMONTH(DATE(Setup!$B$4,1,1),0)))</f>
        <v/>
      </c>
      <c r="AN35" s="25" t="str">
        <f t="shared" si="2"/>
        <v/>
      </c>
    </row>
    <row r="36" spans="1:40" x14ac:dyDescent="0.3">
      <c r="A36" s="14" t="str">
        <f>IF(INDEX(Workers!$B:$B,ROW())="","",INDEX(Workers!$B:$B,ROW()))</f>
        <v/>
      </c>
      <c r="B36" s="21" t="str">
        <f>IF(INDEX(Workers!$C:$C,ROW())="","",INDEX(Workers!$C:$C,ROW()))</f>
        <v/>
      </c>
      <c r="C36" s="21" t="str">
        <f>IF(INDEX(Workers!$D:$D,ROW())="","",INDEX(Workers!$D:$D,ROW()))</f>
        <v/>
      </c>
      <c r="D36" s="22" t="str">
        <f>IF(INDEX(Workers!$E:$E,ROW())="","",INDEX(Workers!$E:$E,ROW()))</f>
        <v/>
      </c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4" t="str">
        <f t="shared" si="0"/>
        <v/>
      </c>
      <c r="AK36" s="24" t="str">
        <f t="shared" si="1"/>
        <v/>
      </c>
      <c r="AL36" s="25" t="str">
        <f>IF(B36="","",AJ36*N(D36)+AK36*N(D36)/Setup!$B$6*Setup!$B$7)</f>
        <v/>
      </c>
      <c r="AM36" s="25" t="str">
        <f>IF(B36="","",SUMIFS(Payments!$D$5:$D$304,Payments!$B$5:$B$304,A36,Payments!$A$5:$A$304,"&gt;="&amp;DATE(Setup!$B$4,1,1),Payments!$A$5:$A$304,"&lt;="&amp;EOMONTH(DATE(Setup!$B$4,1,1),0)))</f>
        <v/>
      </c>
      <c r="AN36" s="25" t="str">
        <f t="shared" si="2"/>
        <v/>
      </c>
    </row>
    <row r="37" spans="1:40" x14ac:dyDescent="0.3">
      <c r="A37" s="14" t="str">
        <f>IF(INDEX(Workers!$B:$B,ROW())="","",INDEX(Workers!$B:$B,ROW()))</f>
        <v/>
      </c>
      <c r="B37" s="21" t="str">
        <f>IF(INDEX(Workers!$C:$C,ROW())="","",INDEX(Workers!$C:$C,ROW()))</f>
        <v/>
      </c>
      <c r="C37" s="21" t="str">
        <f>IF(INDEX(Workers!$D:$D,ROW())="","",INDEX(Workers!$D:$D,ROW()))</f>
        <v/>
      </c>
      <c r="D37" s="22" t="str">
        <f>IF(INDEX(Workers!$E:$E,ROW())="","",INDEX(Workers!$E:$E,ROW()))</f>
        <v/>
      </c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4" t="str">
        <f t="shared" si="0"/>
        <v/>
      </c>
      <c r="AK37" s="24" t="str">
        <f t="shared" si="1"/>
        <v/>
      </c>
      <c r="AL37" s="25" t="str">
        <f>IF(B37="","",AJ37*N(D37)+AK37*N(D37)/Setup!$B$6*Setup!$B$7)</f>
        <v/>
      </c>
      <c r="AM37" s="25" t="str">
        <f>IF(B37="","",SUMIFS(Payments!$D$5:$D$304,Payments!$B$5:$B$304,A37,Payments!$A$5:$A$304,"&gt;="&amp;DATE(Setup!$B$4,1,1),Payments!$A$5:$A$304,"&lt;="&amp;EOMONTH(DATE(Setup!$B$4,1,1),0)))</f>
        <v/>
      </c>
      <c r="AN37" s="25" t="str">
        <f t="shared" si="2"/>
        <v/>
      </c>
    </row>
    <row r="38" spans="1:40" x14ac:dyDescent="0.3">
      <c r="A38" s="14" t="str">
        <f>IF(INDEX(Workers!$B:$B,ROW())="","",INDEX(Workers!$B:$B,ROW()))</f>
        <v/>
      </c>
      <c r="B38" s="21" t="str">
        <f>IF(INDEX(Workers!$C:$C,ROW())="","",INDEX(Workers!$C:$C,ROW()))</f>
        <v/>
      </c>
      <c r="C38" s="21" t="str">
        <f>IF(INDEX(Workers!$D:$D,ROW())="","",INDEX(Workers!$D:$D,ROW()))</f>
        <v/>
      </c>
      <c r="D38" s="22" t="str">
        <f>IF(INDEX(Workers!$E:$E,ROW())="","",INDEX(Workers!$E:$E,ROW()))</f>
        <v/>
      </c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4" t="str">
        <f t="shared" si="0"/>
        <v/>
      </c>
      <c r="AK38" s="24" t="str">
        <f t="shared" si="1"/>
        <v/>
      </c>
      <c r="AL38" s="25" t="str">
        <f>IF(B38="","",AJ38*N(D38)+AK38*N(D38)/Setup!$B$6*Setup!$B$7)</f>
        <v/>
      </c>
      <c r="AM38" s="25" t="str">
        <f>IF(B38="","",SUMIFS(Payments!$D$5:$D$304,Payments!$B$5:$B$304,A38,Payments!$A$5:$A$304,"&gt;="&amp;DATE(Setup!$B$4,1,1),Payments!$A$5:$A$304,"&lt;="&amp;EOMONTH(DATE(Setup!$B$4,1,1),0)))</f>
        <v/>
      </c>
      <c r="AN38" s="25" t="str">
        <f t="shared" si="2"/>
        <v/>
      </c>
    </row>
    <row r="39" spans="1:40" x14ac:dyDescent="0.3">
      <c r="A39" s="14" t="str">
        <f>IF(INDEX(Workers!$B:$B,ROW())="","",INDEX(Workers!$B:$B,ROW()))</f>
        <v/>
      </c>
      <c r="B39" s="21" t="str">
        <f>IF(INDEX(Workers!$C:$C,ROW())="","",INDEX(Workers!$C:$C,ROW()))</f>
        <v/>
      </c>
      <c r="C39" s="21" t="str">
        <f>IF(INDEX(Workers!$D:$D,ROW())="","",INDEX(Workers!$D:$D,ROW()))</f>
        <v/>
      </c>
      <c r="D39" s="22" t="str">
        <f>IF(INDEX(Workers!$E:$E,ROW())="","",INDEX(Workers!$E:$E,ROW()))</f>
        <v/>
      </c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4" t="str">
        <f t="shared" si="0"/>
        <v/>
      </c>
      <c r="AK39" s="24" t="str">
        <f t="shared" si="1"/>
        <v/>
      </c>
      <c r="AL39" s="25" t="str">
        <f>IF(B39="","",AJ39*N(D39)+AK39*N(D39)/Setup!$B$6*Setup!$B$7)</f>
        <v/>
      </c>
      <c r="AM39" s="25" t="str">
        <f>IF(B39="","",SUMIFS(Payments!$D$5:$D$304,Payments!$B$5:$B$304,A39,Payments!$A$5:$A$304,"&gt;="&amp;DATE(Setup!$B$4,1,1),Payments!$A$5:$A$304,"&lt;="&amp;EOMONTH(DATE(Setup!$B$4,1,1),0)))</f>
        <v/>
      </c>
      <c r="AN39" s="25" t="str">
        <f t="shared" si="2"/>
        <v/>
      </c>
    </row>
    <row r="40" spans="1:40" x14ac:dyDescent="0.3">
      <c r="A40" s="14" t="str">
        <f>IF(INDEX(Workers!$B:$B,ROW())="","",INDEX(Workers!$B:$B,ROW()))</f>
        <v/>
      </c>
      <c r="B40" s="21" t="str">
        <f>IF(INDEX(Workers!$C:$C,ROW())="","",INDEX(Workers!$C:$C,ROW()))</f>
        <v/>
      </c>
      <c r="C40" s="21" t="str">
        <f>IF(INDEX(Workers!$D:$D,ROW())="","",INDEX(Workers!$D:$D,ROW()))</f>
        <v/>
      </c>
      <c r="D40" s="22" t="str">
        <f>IF(INDEX(Workers!$E:$E,ROW())="","",INDEX(Workers!$E:$E,ROW()))</f>
        <v/>
      </c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4" t="str">
        <f t="shared" si="0"/>
        <v/>
      </c>
      <c r="AK40" s="24" t="str">
        <f t="shared" si="1"/>
        <v/>
      </c>
      <c r="AL40" s="25" t="str">
        <f>IF(B40="","",AJ40*N(D40)+AK40*N(D40)/Setup!$B$6*Setup!$B$7)</f>
        <v/>
      </c>
      <c r="AM40" s="25" t="str">
        <f>IF(B40="","",SUMIFS(Payments!$D$5:$D$304,Payments!$B$5:$B$304,A40,Payments!$A$5:$A$304,"&gt;="&amp;DATE(Setup!$B$4,1,1),Payments!$A$5:$A$304,"&lt;="&amp;EOMONTH(DATE(Setup!$B$4,1,1),0)))</f>
        <v/>
      </c>
      <c r="AN40" s="25" t="str">
        <f t="shared" si="2"/>
        <v/>
      </c>
    </row>
    <row r="41" spans="1:40" x14ac:dyDescent="0.3">
      <c r="A41" s="14" t="str">
        <f>IF(INDEX(Workers!$B:$B,ROW())="","",INDEX(Workers!$B:$B,ROW()))</f>
        <v/>
      </c>
      <c r="B41" s="21" t="str">
        <f>IF(INDEX(Workers!$C:$C,ROW())="","",INDEX(Workers!$C:$C,ROW()))</f>
        <v/>
      </c>
      <c r="C41" s="21" t="str">
        <f>IF(INDEX(Workers!$D:$D,ROW())="","",INDEX(Workers!$D:$D,ROW()))</f>
        <v/>
      </c>
      <c r="D41" s="22" t="str">
        <f>IF(INDEX(Workers!$E:$E,ROW())="","",INDEX(Workers!$E:$E,ROW()))</f>
        <v/>
      </c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4" t="str">
        <f t="shared" si="0"/>
        <v/>
      </c>
      <c r="AK41" s="24" t="str">
        <f t="shared" si="1"/>
        <v/>
      </c>
      <c r="AL41" s="25" t="str">
        <f>IF(B41="","",AJ41*N(D41)+AK41*N(D41)/Setup!$B$6*Setup!$B$7)</f>
        <v/>
      </c>
      <c r="AM41" s="25" t="str">
        <f>IF(B41="","",SUMIFS(Payments!$D$5:$D$304,Payments!$B$5:$B$304,A41,Payments!$A$5:$A$304,"&gt;="&amp;DATE(Setup!$B$4,1,1),Payments!$A$5:$A$304,"&lt;="&amp;EOMONTH(DATE(Setup!$B$4,1,1),0)))</f>
        <v/>
      </c>
      <c r="AN41" s="25" t="str">
        <f t="shared" si="2"/>
        <v/>
      </c>
    </row>
    <row r="42" spans="1:40" x14ac:dyDescent="0.3">
      <c r="A42" s="14" t="str">
        <f>IF(INDEX(Workers!$B:$B,ROW())="","",INDEX(Workers!$B:$B,ROW()))</f>
        <v/>
      </c>
      <c r="B42" s="21" t="str">
        <f>IF(INDEX(Workers!$C:$C,ROW())="","",INDEX(Workers!$C:$C,ROW()))</f>
        <v/>
      </c>
      <c r="C42" s="21" t="str">
        <f>IF(INDEX(Workers!$D:$D,ROW())="","",INDEX(Workers!$D:$D,ROW()))</f>
        <v/>
      </c>
      <c r="D42" s="22" t="str">
        <f>IF(INDEX(Workers!$E:$E,ROW())="","",INDEX(Workers!$E:$E,ROW()))</f>
        <v/>
      </c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4" t="str">
        <f t="shared" si="0"/>
        <v/>
      </c>
      <c r="AK42" s="24" t="str">
        <f t="shared" si="1"/>
        <v/>
      </c>
      <c r="AL42" s="25" t="str">
        <f>IF(B42="","",AJ42*N(D42)+AK42*N(D42)/Setup!$B$6*Setup!$B$7)</f>
        <v/>
      </c>
      <c r="AM42" s="25" t="str">
        <f>IF(B42="","",SUMIFS(Payments!$D$5:$D$304,Payments!$B$5:$B$304,A42,Payments!$A$5:$A$304,"&gt;="&amp;DATE(Setup!$B$4,1,1),Payments!$A$5:$A$304,"&lt;="&amp;EOMONTH(DATE(Setup!$B$4,1,1),0)))</f>
        <v/>
      </c>
      <c r="AN42" s="25" t="str">
        <f t="shared" si="2"/>
        <v/>
      </c>
    </row>
    <row r="43" spans="1:40" x14ac:dyDescent="0.3">
      <c r="A43" s="14" t="str">
        <f>IF(INDEX(Workers!$B:$B,ROW())="","",INDEX(Workers!$B:$B,ROW()))</f>
        <v/>
      </c>
      <c r="B43" s="21" t="str">
        <f>IF(INDEX(Workers!$C:$C,ROW())="","",INDEX(Workers!$C:$C,ROW()))</f>
        <v/>
      </c>
      <c r="C43" s="21" t="str">
        <f>IF(INDEX(Workers!$D:$D,ROW())="","",INDEX(Workers!$D:$D,ROW()))</f>
        <v/>
      </c>
      <c r="D43" s="22" t="str">
        <f>IF(INDEX(Workers!$E:$E,ROW())="","",INDEX(Workers!$E:$E,ROW()))</f>
        <v/>
      </c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4" t="str">
        <f t="shared" si="0"/>
        <v/>
      </c>
      <c r="AK43" s="24" t="str">
        <f t="shared" si="1"/>
        <v/>
      </c>
      <c r="AL43" s="25" t="str">
        <f>IF(B43="","",AJ43*N(D43)+AK43*N(D43)/Setup!$B$6*Setup!$B$7)</f>
        <v/>
      </c>
      <c r="AM43" s="25" t="str">
        <f>IF(B43="","",SUMIFS(Payments!$D$5:$D$304,Payments!$B$5:$B$304,A43,Payments!$A$5:$A$304,"&gt;="&amp;DATE(Setup!$B$4,1,1),Payments!$A$5:$A$304,"&lt;="&amp;EOMONTH(DATE(Setup!$B$4,1,1),0)))</f>
        <v/>
      </c>
      <c r="AN43" s="25" t="str">
        <f t="shared" si="2"/>
        <v/>
      </c>
    </row>
    <row r="44" spans="1:40" x14ac:dyDescent="0.3">
      <c r="A44" s="14" t="str">
        <f>IF(INDEX(Workers!$B:$B,ROW())="","",INDEX(Workers!$B:$B,ROW()))</f>
        <v/>
      </c>
      <c r="B44" s="21" t="str">
        <f>IF(INDEX(Workers!$C:$C,ROW())="","",INDEX(Workers!$C:$C,ROW()))</f>
        <v/>
      </c>
      <c r="C44" s="21" t="str">
        <f>IF(INDEX(Workers!$D:$D,ROW())="","",INDEX(Workers!$D:$D,ROW()))</f>
        <v/>
      </c>
      <c r="D44" s="22" t="str">
        <f>IF(INDEX(Workers!$E:$E,ROW())="","",INDEX(Workers!$E:$E,ROW()))</f>
        <v/>
      </c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4" t="str">
        <f t="shared" si="0"/>
        <v/>
      </c>
      <c r="AK44" s="24" t="str">
        <f t="shared" si="1"/>
        <v/>
      </c>
      <c r="AL44" s="25" t="str">
        <f>IF(B44="","",AJ44*N(D44)+AK44*N(D44)/Setup!$B$6*Setup!$B$7)</f>
        <v/>
      </c>
      <c r="AM44" s="25" t="str">
        <f>IF(B44="","",SUMIFS(Payments!$D$5:$D$304,Payments!$B$5:$B$304,A44,Payments!$A$5:$A$304,"&gt;="&amp;DATE(Setup!$B$4,1,1),Payments!$A$5:$A$304,"&lt;="&amp;EOMONTH(DATE(Setup!$B$4,1,1),0)))</f>
        <v/>
      </c>
      <c r="AN44" s="25" t="str">
        <f t="shared" si="2"/>
        <v/>
      </c>
    </row>
    <row r="45" spans="1:40" x14ac:dyDescent="0.3">
      <c r="A45" s="26"/>
      <c r="B45" s="26" t="s">
        <v>88</v>
      </c>
      <c r="C45" s="26"/>
      <c r="D45" s="26"/>
      <c r="E45" s="27">
        <f t="shared" ref="E45:AI45" si="3">IF(E$3="","",COUNTIF(E5:E44,"P")+COUNTIF(E5:E44,"H")+COUNT(E5:E44))</f>
        <v>0</v>
      </c>
      <c r="F45" s="27">
        <f t="shared" si="3"/>
        <v>0</v>
      </c>
      <c r="G45" s="27">
        <f t="shared" si="3"/>
        <v>0</v>
      </c>
      <c r="H45" s="27">
        <f t="shared" si="3"/>
        <v>0</v>
      </c>
      <c r="I45" s="27">
        <f t="shared" si="3"/>
        <v>0</v>
      </c>
      <c r="J45" s="27">
        <f t="shared" si="3"/>
        <v>0</v>
      </c>
      <c r="K45" s="27">
        <f t="shared" si="3"/>
        <v>0</v>
      </c>
      <c r="L45" s="27">
        <f t="shared" si="3"/>
        <v>0</v>
      </c>
      <c r="M45" s="27">
        <f t="shared" si="3"/>
        <v>0</v>
      </c>
      <c r="N45" s="27">
        <f t="shared" si="3"/>
        <v>0</v>
      </c>
      <c r="O45" s="27">
        <f t="shared" si="3"/>
        <v>0</v>
      </c>
      <c r="P45" s="27">
        <f t="shared" si="3"/>
        <v>0</v>
      </c>
      <c r="Q45" s="27">
        <f t="shared" si="3"/>
        <v>0</v>
      </c>
      <c r="R45" s="27">
        <f t="shared" si="3"/>
        <v>0</v>
      </c>
      <c r="S45" s="27">
        <f t="shared" si="3"/>
        <v>0</v>
      </c>
      <c r="T45" s="27">
        <f t="shared" si="3"/>
        <v>0</v>
      </c>
      <c r="U45" s="27">
        <f t="shared" si="3"/>
        <v>0</v>
      </c>
      <c r="V45" s="27">
        <f t="shared" si="3"/>
        <v>0</v>
      </c>
      <c r="W45" s="27">
        <f t="shared" si="3"/>
        <v>0</v>
      </c>
      <c r="X45" s="27">
        <f t="shared" si="3"/>
        <v>0</v>
      </c>
      <c r="Y45" s="27">
        <f t="shared" si="3"/>
        <v>0</v>
      </c>
      <c r="Z45" s="27">
        <f t="shared" si="3"/>
        <v>0</v>
      </c>
      <c r="AA45" s="27">
        <f t="shared" si="3"/>
        <v>0</v>
      </c>
      <c r="AB45" s="27">
        <f t="shared" si="3"/>
        <v>0</v>
      </c>
      <c r="AC45" s="27">
        <f t="shared" si="3"/>
        <v>0</v>
      </c>
      <c r="AD45" s="27">
        <f t="shared" si="3"/>
        <v>0</v>
      </c>
      <c r="AE45" s="27">
        <f t="shared" si="3"/>
        <v>0</v>
      </c>
      <c r="AF45" s="27">
        <f t="shared" si="3"/>
        <v>0</v>
      </c>
      <c r="AG45" s="27">
        <f t="shared" si="3"/>
        <v>0</v>
      </c>
      <c r="AH45" s="27">
        <f t="shared" si="3"/>
        <v>0</v>
      </c>
      <c r="AI45" s="27">
        <f t="shared" si="3"/>
        <v>0</v>
      </c>
      <c r="AJ45" s="28">
        <f>SUM(AJ5:AJ44)</f>
        <v>0</v>
      </c>
      <c r="AK45" s="28">
        <f>SUM(AK5:AK44)</f>
        <v>0</v>
      </c>
      <c r="AL45" s="29">
        <f>SUM(AL5:AL44)</f>
        <v>0</v>
      </c>
      <c r="AM45" s="29">
        <f>SUM(AM5:AM44)</f>
        <v>0</v>
      </c>
      <c r="AN45" s="29">
        <f>SUM(AN5:AN44)</f>
        <v>0</v>
      </c>
    </row>
  </sheetData>
  <conditionalFormatting sqref="E3:AI3">
    <cfRule type="expression" dxfId="83" priority="2">
      <formula>E$3="Sun"</formula>
    </cfRule>
  </conditionalFormatting>
  <conditionalFormatting sqref="E3:AI45">
    <cfRule type="expression" dxfId="82" priority="1">
      <formula>E$3=""</formula>
    </cfRule>
  </conditionalFormatting>
  <conditionalFormatting sqref="E5:AI44">
    <cfRule type="expression" dxfId="81" priority="6">
      <formula>E5="A"</formula>
    </cfRule>
    <cfRule type="expression" dxfId="80" priority="7">
      <formula>E5="H"</formula>
    </cfRule>
    <cfRule type="expression" dxfId="79" priority="8">
      <formula>ISNUMBER(E5)</formula>
    </cfRule>
  </conditionalFormatting>
  <conditionalFormatting sqref="E5:AI45">
    <cfRule type="expression" dxfId="78" priority="4">
      <formula>E$3="Sun"</formula>
    </cfRule>
  </conditionalFormatting>
  <conditionalFormatting sqref="AN5:AN44">
    <cfRule type="expression" dxfId="77" priority="9">
      <formula>AN5&lt;0</formula>
    </cfRule>
  </conditionalFormatting>
  <dataValidations count="1">
    <dataValidation type="custom" allowBlank="1" showErrorMessage="1" errorTitle="Attendance code" error="Type P, H, A, L, or the number of overtime hours (0 to 12). Shaded days do not exist in this month." sqref="E5:AI44" xr:uid="{00000000-0002-0000-0300-000000000000}">
      <formula1>AND(E$3&lt;&gt;"",OR(E5="P",E5="H",E5="A",E5="L",AND(ISNUMBER(E5),E5&gt;=0,E5&lt;=12)))</formula1>
    </dataValidation>
  </dataValidations>
  <printOptions horizontalCentered="1"/>
  <pageMargins left="0.45" right="0.45" top="0.6" bottom="0.6" header="0.3" footer="0.3"/>
  <pageSetup paperSize="9" scale="66" orientation="landscape" r:id="rId1"/>
  <headerFooter>
    <oddFooter>&amp;L&amp;8Free from NirmanDost - nirmandost.in - sign up for more free tools&amp;R&amp;8Page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N45"/>
  <sheetViews>
    <sheetView showGridLines="0" workbookViewId="0">
      <pane xSplit="4" ySplit="4" topLeftCell="E5" activePane="bottomRight" state="frozen"/>
      <selection pane="topRight"/>
      <selection pane="bottomLeft"/>
      <selection pane="bottomRight"/>
    </sheetView>
  </sheetViews>
  <sheetFormatPr defaultRowHeight="14.4" x14ac:dyDescent="0.3"/>
  <cols>
    <col min="1" max="1" width="7" customWidth="1"/>
    <col min="2" max="2" width="24" customWidth="1"/>
    <col min="3" max="3" width="11" customWidth="1"/>
    <col min="4" max="4" width="9" customWidth="1"/>
    <col min="5" max="35" width="3.5546875" customWidth="1"/>
    <col min="36" max="37" width="6.44140625" customWidth="1"/>
    <col min="38" max="38" width="12" customWidth="1"/>
    <col min="39" max="40" width="11" customWidth="1"/>
  </cols>
  <sheetData>
    <row r="1" spans="1:40" ht="17.399999999999999" x14ac:dyDescent="0.3">
      <c r="A1" s="18" t="str">
        <f>"Attendance - "&amp;TEXT(DATE(Setup!$B$4,2,1),"mmmm yyyy")&amp;"   "&amp;Setup!$B$5</f>
        <v>Attendance - February 2026   Type the site name</v>
      </c>
    </row>
    <row r="2" spans="1:40" x14ac:dyDescent="0.3">
      <c r="A2" s="19" t="s">
        <v>49</v>
      </c>
    </row>
    <row r="3" spans="1:40" x14ac:dyDescent="0.3">
      <c r="E3" s="20" t="str">
        <f>IF(1&gt;DAY(EOMONTH(DATE(Setup!$B$4,2,1),0)),"",TEXT(DATE(Setup!$B$4,2,1),"ddd"))</f>
        <v>Sun</v>
      </c>
      <c r="F3" s="20" t="str">
        <f>IF(2&gt;DAY(EOMONTH(DATE(Setup!$B$4,2,1),0)),"",TEXT(DATE(Setup!$B$4,2,2),"ddd"))</f>
        <v>Mon</v>
      </c>
      <c r="G3" s="20" t="str">
        <f>IF(3&gt;DAY(EOMONTH(DATE(Setup!$B$4,2,1),0)),"",TEXT(DATE(Setup!$B$4,2,3),"ddd"))</f>
        <v>Tue</v>
      </c>
      <c r="H3" s="20" t="str">
        <f>IF(4&gt;DAY(EOMONTH(DATE(Setup!$B$4,2,1),0)),"",TEXT(DATE(Setup!$B$4,2,4),"ddd"))</f>
        <v>Wed</v>
      </c>
      <c r="I3" s="20" t="str">
        <f>IF(5&gt;DAY(EOMONTH(DATE(Setup!$B$4,2,1),0)),"",TEXT(DATE(Setup!$B$4,2,5),"ddd"))</f>
        <v>Thu</v>
      </c>
      <c r="J3" s="20" t="str">
        <f>IF(6&gt;DAY(EOMONTH(DATE(Setup!$B$4,2,1),0)),"",TEXT(DATE(Setup!$B$4,2,6),"ddd"))</f>
        <v>Fri</v>
      </c>
      <c r="K3" s="20" t="str">
        <f>IF(7&gt;DAY(EOMONTH(DATE(Setup!$B$4,2,1),0)),"",TEXT(DATE(Setup!$B$4,2,7),"ddd"))</f>
        <v>Sat</v>
      </c>
      <c r="L3" s="20" t="str">
        <f>IF(8&gt;DAY(EOMONTH(DATE(Setup!$B$4,2,1),0)),"",TEXT(DATE(Setup!$B$4,2,8),"ddd"))</f>
        <v>Sun</v>
      </c>
      <c r="M3" s="20" t="str">
        <f>IF(9&gt;DAY(EOMONTH(DATE(Setup!$B$4,2,1),0)),"",TEXT(DATE(Setup!$B$4,2,9),"ddd"))</f>
        <v>Mon</v>
      </c>
      <c r="N3" s="20" t="str">
        <f>IF(10&gt;DAY(EOMONTH(DATE(Setup!$B$4,2,1),0)),"",TEXT(DATE(Setup!$B$4,2,10),"ddd"))</f>
        <v>Tue</v>
      </c>
      <c r="O3" s="20" t="str">
        <f>IF(11&gt;DAY(EOMONTH(DATE(Setup!$B$4,2,1),0)),"",TEXT(DATE(Setup!$B$4,2,11),"ddd"))</f>
        <v>Wed</v>
      </c>
      <c r="P3" s="20" t="str">
        <f>IF(12&gt;DAY(EOMONTH(DATE(Setup!$B$4,2,1),0)),"",TEXT(DATE(Setup!$B$4,2,12),"ddd"))</f>
        <v>Thu</v>
      </c>
      <c r="Q3" s="20" t="str">
        <f>IF(13&gt;DAY(EOMONTH(DATE(Setup!$B$4,2,1),0)),"",TEXT(DATE(Setup!$B$4,2,13),"ddd"))</f>
        <v>Fri</v>
      </c>
      <c r="R3" s="20" t="str">
        <f>IF(14&gt;DAY(EOMONTH(DATE(Setup!$B$4,2,1),0)),"",TEXT(DATE(Setup!$B$4,2,14),"ddd"))</f>
        <v>Sat</v>
      </c>
      <c r="S3" s="20" t="str">
        <f>IF(15&gt;DAY(EOMONTH(DATE(Setup!$B$4,2,1),0)),"",TEXT(DATE(Setup!$B$4,2,15),"ddd"))</f>
        <v>Sun</v>
      </c>
      <c r="T3" s="20" t="str">
        <f>IF(16&gt;DAY(EOMONTH(DATE(Setup!$B$4,2,1),0)),"",TEXT(DATE(Setup!$B$4,2,16),"ddd"))</f>
        <v>Mon</v>
      </c>
      <c r="U3" s="20" t="str">
        <f>IF(17&gt;DAY(EOMONTH(DATE(Setup!$B$4,2,1),0)),"",TEXT(DATE(Setup!$B$4,2,17),"ddd"))</f>
        <v>Tue</v>
      </c>
      <c r="V3" s="20" t="str">
        <f>IF(18&gt;DAY(EOMONTH(DATE(Setup!$B$4,2,1),0)),"",TEXT(DATE(Setup!$B$4,2,18),"ddd"))</f>
        <v>Wed</v>
      </c>
      <c r="W3" s="20" t="str">
        <f>IF(19&gt;DAY(EOMONTH(DATE(Setup!$B$4,2,1),0)),"",TEXT(DATE(Setup!$B$4,2,19),"ddd"))</f>
        <v>Thu</v>
      </c>
      <c r="X3" s="20" t="str">
        <f>IF(20&gt;DAY(EOMONTH(DATE(Setup!$B$4,2,1),0)),"",TEXT(DATE(Setup!$B$4,2,20),"ddd"))</f>
        <v>Fri</v>
      </c>
      <c r="Y3" s="20" t="str">
        <f>IF(21&gt;DAY(EOMONTH(DATE(Setup!$B$4,2,1),0)),"",TEXT(DATE(Setup!$B$4,2,21),"ddd"))</f>
        <v>Sat</v>
      </c>
      <c r="Z3" s="20" t="str">
        <f>IF(22&gt;DAY(EOMONTH(DATE(Setup!$B$4,2,1),0)),"",TEXT(DATE(Setup!$B$4,2,22),"ddd"))</f>
        <v>Sun</v>
      </c>
      <c r="AA3" s="20" t="str">
        <f>IF(23&gt;DAY(EOMONTH(DATE(Setup!$B$4,2,1),0)),"",TEXT(DATE(Setup!$B$4,2,23),"ddd"))</f>
        <v>Mon</v>
      </c>
      <c r="AB3" s="20" t="str">
        <f>IF(24&gt;DAY(EOMONTH(DATE(Setup!$B$4,2,1),0)),"",TEXT(DATE(Setup!$B$4,2,24),"ddd"))</f>
        <v>Tue</v>
      </c>
      <c r="AC3" s="20" t="str">
        <f>IF(25&gt;DAY(EOMONTH(DATE(Setup!$B$4,2,1),0)),"",TEXT(DATE(Setup!$B$4,2,25),"ddd"))</f>
        <v>Wed</v>
      </c>
      <c r="AD3" s="20" t="str">
        <f>IF(26&gt;DAY(EOMONTH(DATE(Setup!$B$4,2,1),0)),"",TEXT(DATE(Setup!$B$4,2,26),"ddd"))</f>
        <v>Thu</v>
      </c>
      <c r="AE3" s="20" t="str">
        <f>IF(27&gt;DAY(EOMONTH(DATE(Setup!$B$4,2,1),0)),"",TEXT(DATE(Setup!$B$4,2,27),"ddd"))</f>
        <v>Fri</v>
      </c>
      <c r="AF3" s="20" t="str">
        <f>IF(28&gt;DAY(EOMONTH(DATE(Setup!$B$4,2,1),0)),"",TEXT(DATE(Setup!$B$4,2,28),"ddd"))</f>
        <v>Sat</v>
      </c>
      <c r="AG3" s="20" t="str">
        <f>IF(29&gt;DAY(EOMONTH(DATE(Setup!$B$4,2,1),0)),"",TEXT(DATE(Setup!$B$4,2,29),"ddd"))</f>
        <v/>
      </c>
      <c r="AH3" s="20" t="str">
        <f>IF(30&gt;DAY(EOMONTH(DATE(Setup!$B$4,2,1),0)),"",TEXT(DATE(Setup!$B$4,2,30),"ddd"))</f>
        <v/>
      </c>
      <c r="AI3" s="20" t="str">
        <f>IF(31&gt;DAY(EOMONTH(DATE(Setup!$B$4,2,1),0)),"",TEXT(DATE(Setup!$B$4,2,31),"ddd"))</f>
        <v/>
      </c>
    </row>
    <row r="4" spans="1:40" ht="28.05" customHeight="1" x14ac:dyDescent="0.3">
      <c r="A4" s="13" t="s">
        <v>50</v>
      </c>
      <c r="B4" s="13" t="s">
        <v>37</v>
      </c>
      <c r="C4" s="13" t="s">
        <v>38</v>
      </c>
      <c r="D4" s="13" t="s">
        <v>51</v>
      </c>
      <c r="E4" s="13" t="s">
        <v>52</v>
      </c>
      <c r="F4" s="13" t="s">
        <v>53</v>
      </c>
      <c r="G4" s="13" t="s">
        <v>54</v>
      </c>
      <c r="H4" s="13" t="s">
        <v>55</v>
      </c>
      <c r="I4" s="13" t="s">
        <v>56</v>
      </c>
      <c r="J4" s="13" t="s">
        <v>57</v>
      </c>
      <c r="K4" s="13" t="s">
        <v>58</v>
      </c>
      <c r="L4" s="13" t="s">
        <v>59</v>
      </c>
      <c r="M4" s="13" t="s">
        <v>60</v>
      </c>
      <c r="N4" s="13" t="s">
        <v>61</v>
      </c>
      <c r="O4" s="13" t="s">
        <v>62</v>
      </c>
      <c r="P4" s="13" t="s">
        <v>63</v>
      </c>
      <c r="Q4" s="13" t="s">
        <v>64</v>
      </c>
      <c r="R4" s="13" t="s">
        <v>65</v>
      </c>
      <c r="S4" s="13" t="s">
        <v>66</v>
      </c>
      <c r="T4" s="13" t="s">
        <v>67</v>
      </c>
      <c r="U4" s="13" t="s">
        <v>68</v>
      </c>
      <c r="V4" s="13" t="s">
        <v>69</v>
      </c>
      <c r="W4" s="13" t="s">
        <v>70</v>
      </c>
      <c r="X4" s="13" t="s">
        <v>71</v>
      </c>
      <c r="Y4" s="13" t="s">
        <v>72</v>
      </c>
      <c r="Z4" s="13" t="s">
        <v>73</v>
      </c>
      <c r="AA4" s="13" t="s">
        <v>74</v>
      </c>
      <c r="AB4" s="13" t="s">
        <v>75</v>
      </c>
      <c r="AC4" s="13" t="s">
        <v>76</v>
      </c>
      <c r="AD4" s="13" t="s">
        <v>77</v>
      </c>
      <c r="AE4" s="13" t="s">
        <v>78</v>
      </c>
      <c r="AF4" s="13" t="s">
        <v>79</v>
      </c>
      <c r="AG4" s="13" t="s">
        <v>80</v>
      </c>
      <c r="AH4" s="13" t="s">
        <v>81</v>
      </c>
      <c r="AI4" s="13" t="s">
        <v>82</v>
      </c>
      <c r="AJ4" s="13" t="s">
        <v>83</v>
      </c>
      <c r="AK4" s="13" t="s">
        <v>84</v>
      </c>
      <c r="AL4" s="13" t="s">
        <v>85</v>
      </c>
      <c r="AM4" s="13" t="s">
        <v>86</v>
      </c>
      <c r="AN4" s="13" t="s">
        <v>87</v>
      </c>
    </row>
    <row r="5" spans="1:40" x14ac:dyDescent="0.3">
      <c r="A5" s="14" t="str">
        <f>IF(INDEX(Workers!$B:$B,ROW())="","",INDEX(Workers!$B:$B,ROW()))</f>
        <v>W-01</v>
      </c>
      <c r="B5" s="21" t="str">
        <f>IF(INDEX(Workers!$C:$C,ROW())="","",INDEX(Workers!$C:$C,ROW()))</f>
        <v>Ramesh (EXAMPLE, clear me)</v>
      </c>
      <c r="C5" s="21" t="str">
        <f>IF(INDEX(Workers!$D:$D,ROW())="","",INDEX(Workers!$D:$D,ROW()))</f>
        <v>Mason</v>
      </c>
      <c r="D5" s="22">
        <f>IF(INDEX(Workers!$E:$E,ROW())="","",INDEX(Workers!$E:$E,ROW()))</f>
        <v>900</v>
      </c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4">
        <f t="shared" ref="AJ5:AJ44" si="0">IF(B5="","",SUMPRODUCT((E$3:AI$3&lt;&gt;"")*(E5:AI5="P"))+0.5*SUMPRODUCT((E$3:AI$3&lt;&gt;"")*(E5:AI5="H"))+SUMPRODUCT((E$3:AI$3&lt;&gt;"")*ISNUMBER(E5:AI5)))</f>
        <v>0</v>
      </c>
      <c r="AK5" s="24">
        <f t="shared" ref="AK5:AK44" si="1">IF(B5="","",SUMPRODUCT((E$3:AI$3&lt;&gt;"")*ISNUMBER(E5:AI5),E5:AI5))</f>
        <v>0</v>
      </c>
      <c r="AL5" s="25">
        <f>IF(B5="","",AJ5*N(D5)+AK5*N(D5)/Setup!$B$6*Setup!$B$7)</f>
        <v>0</v>
      </c>
      <c r="AM5" s="25">
        <f>IF(B5="","",SUMIFS(Payments!$D$5:$D$304,Payments!$B$5:$B$304,A5,Payments!$A$5:$A$304,"&gt;="&amp;DATE(Setup!$B$4,2,1),Payments!$A$5:$A$304,"&lt;="&amp;EOMONTH(DATE(Setup!$B$4,2,1),0)))</f>
        <v>0</v>
      </c>
      <c r="AN5" s="25">
        <f t="shared" ref="AN5:AN44" si="2">IF(B5="","",AL5-AM5)</f>
        <v>0</v>
      </c>
    </row>
    <row r="6" spans="1:40" x14ac:dyDescent="0.3">
      <c r="A6" s="14" t="str">
        <f>IF(INDEX(Workers!$B:$B,ROW())="","",INDEX(Workers!$B:$B,ROW()))</f>
        <v/>
      </c>
      <c r="B6" s="21" t="str">
        <f>IF(INDEX(Workers!$C:$C,ROW())="","",INDEX(Workers!$C:$C,ROW()))</f>
        <v/>
      </c>
      <c r="C6" s="21" t="str">
        <f>IF(INDEX(Workers!$D:$D,ROW())="","",INDEX(Workers!$D:$D,ROW()))</f>
        <v/>
      </c>
      <c r="D6" s="22" t="str">
        <f>IF(INDEX(Workers!$E:$E,ROW())="","",INDEX(Workers!$E:$E,ROW()))</f>
        <v/>
      </c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4" t="str">
        <f t="shared" si="0"/>
        <v/>
      </c>
      <c r="AK6" s="24" t="str">
        <f t="shared" si="1"/>
        <v/>
      </c>
      <c r="AL6" s="25" t="str">
        <f>IF(B6="","",AJ6*N(D6)+AK6*N(D6)/Setup!$B$6*Setup!$B$7)</f>
        <v/>
      </c>
      <c r="AM6" s="25" t="str">
        <f>IF(B6="","",SUMIFS(Payments!$D$5:$D$304,Payments!$B$5:$B$304,A6,Payments!$A$5:$A$304,"&gt;="&amp;DATE(Setup!$B$4,2,1),Payments!$A$5:$A$304,"&lt;="&amp;EOMONTH(DATE(Setup!$B$4,2,1),0)))</f>
        <v/>
      </c>
      <c r="AN6" s="25" t="str">
        <f t="shared" si="2"/>
        <v/>
      </c>
    </row>
    <row r="7" spans="1:40" x14ac:dyDescent="0.3">
      <c r="A7" s="14" t="str">
        <f>IF(INDEX(Workers!$B:$B,ROW())="","",INDEX(Workers!$B:$B,ROW()))</f>
        <v/>
      </c>
      <c r="B7" s="21" t="str">
        <f>IF(INDEX(Workers!$C:$C,ROW())="","",INDEX(Workers!$C:$C,ROW()))</f>
        <v/>
      </c>
      <c r="C7" s="21" t="str">
        <f>IF(INDEX(Workers!$D:$D,ROW())="","",INDEX(Workers!$D:$D,ROW()))</f>
        <v/>
      </c>
      <c r="D7" s="22" t="str">
        <f>IF(INDEX(Workers!$E:$E,ROW())="","",INDEX(Workers!$E:$E,ROW()))</f>
        <v/>
      </c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4" t="str">
        <f t="shared" si="0"/>
        <v/>
      </c>
      <c r="AK7" s="24" t="str">
        <f t="shared" si="1"/>
        <v/>
      </c>
      <c r="AL7" s="25" t="str">
        <f>IF(B7="","",AJ7*N(D7)+AK7*N(D7)/Setup!$B$6*Setup!$B$7)</f>
        <v/>
      </c>
      <c r="AM7" s="25" t="str">
        <f>IF(B7="","",SUMIFS(Payments!$D$5:$D$304,Payments!$B$5:$B$304,A7,Payments!$A$5:$A$304,"&gt;="&amp;DATE(Setup!$B$4,2,1),Payments!$A$5:$A$304,"&lt;="&amp;EOMONTH(DATE(Setup!$B$4,2,1),0)))</f>
        <v/>
      </c>
      <c r="AN7" s="25" t="str">
        <f t="shared" si="2"/>
        <v/>
      </c>
    </row>
    <row r="8" spans="1:40" x14ac:dyDescent="0.3">
      <c r="A8" s="14" t="str">
        <f>IF(INDEX(Workers!$B:$B,ROW())="","",INDEX(Workers!$B:$B,ROW()))</f>
        <v/>
      </c>
      <c r="B8" s="21" t="str">
        <f>IF(INDEX(Workers!$C:$C,ROW())="","",INDEX(Workers!$C:$C,ROW()))</f>
        <v/>
      </c>
      <c r="C8" s="21" t="str">
        <f>IF(INDEX(Workers!$D:$D,ROW())="","",INDEX(Workers!$D:$D,ROW()))</f>
        <v/>
      </c>
      <c r="D8" s="22" t="str">
        <f>IF(INDEX(Workers!$E:$E,ROW())="","",INDEX(Workers!$E:$E,ROW()))</f>
        <v/>
      </c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4" t="str">
        <f t="shared" si="0"/>
        <v/>
      </c>
      <c r="AK8" s="24" t="str">
        <f t="shared" si="1"/>
        <v/>
      </c>
      <c r="AL8" s="25" t="str">
        <f>IF(B8="","",AJ8*N(D8)+AK8*N(D8)/Setup!$B$6*Setup!$B$7)</f>
        <v/>
      </c>
      <c r="AM8" s="25" t="str">
        <f>IF(B8="","",SUMIFS(Payments!$D$5:$D$304,Payments!$B$5:$B$304,A8,Payments!$A$5:$A$304,"&gt;="&amp;DATE(Setup!$B$4,2,1),Payments!$A$5:$A$304,"&lt;="&amp;EOMONTH(DATE(Setup!$B$4,2,1),0)))</f>
        <v/>
      </c>
      <c r="AN8" s="25" t="str">
        <f t="shared" si="2"/>
        <v/>
      </c>
    </row>
    <row r="9" spans="1:40" x14ac:dyDescent="0.3">
      <c r="A9" s="14" t="str">
        <f>IF(INDEX(Workers!$B:$B,ROW())="","",INDEX(Workers!$B:$B,ROW()))</f>
        <v/>
      </c>
      <c r="B9" s="21" t="str">
        <f>IF(INDEX(Workers!$C:$C,ROW())="","",INDEX(Workers!$C:$C,ROW()))</f>
        <v/>
      </c>
      <c r="C9" s="21" t="str">
        <f>IF(INDEX(Workers!$D:$D,ROW())="","",INDEX(Workers!$D:$D,ROW()))</f>
        <v/>
      </c>
      <c r="D9" s="22" t="str">
        <f>IF(INDEX(Workers!$E:$E,ROW())="","",INDEX(Workers!$E:$E,ROW()))</f>
        <v/>
      </c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4" t="str">
        <f t="shared" si="0"/>
        <v/>
      </c>
      <c r="AK9" s="24" t="str">
        <f t="shared" si="1"/>
        <v/>
      </c>
      <c r="AL9" s="25" t="str">
        <f>IF(B9="","",AJ9*N(D9)+AK9*N(D9)/Setup!$B$6*Setup!$B$7)</f>
        <v/>
      </c>
      <c r="AM9" s="25" t="str">
        <f>IF(B9="","",SUMIFS(Payments!$D$5:$D$304,Payments!$B$5:$B$304,A9,Payments!$A$5:$A$304,"&gt;="&amp;DATE(Setup!$B$4,2,1),Payments!$A$5:$A$304,"&lt;="&amp;EOMONTH(DATE(Setup!$B$4,2,1),0)))</f>
        <v/>
      </c>
      <c r="AN9" s="25" t="str">
        <f t="shared" si="2"/>
        <v/>
      </c>
    </row>
    <row r="10" spans="1:40" x14ac:dyDescent="0.3">
      <c r="A10" s="14" t="str">
        <f>IF(INDEX(Workers!$B:$B,ROW())="","",INDEX(Workers!$B:$B,ROW()))</f>
        <v/>
      </c>
      <c r="B10" s="21" t="str">
        <f>IF(INDEX(Workers!$C:$C,ROW())="","",INDEX(Workers!$C:$C,ROW()))</f>
        <v/>
      </c>
      <c r="C10" s="21" t="str">
        <f>IF(INDEX(Workers!$D:$D,ROW())="","",INDEX(Workers!$D:$D,ROW()))</f>
        <v/>
      </c>
      <c r="D10" s="22" t="str">
        <f>IF(INDEX(Workers!$E:$E,ROW())="","",INDEX(Workers!$E:$E,ROW()))</f>
        <v/>
      </c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4" t="str">
        <f t="shared" si="0"/>
        <v/>
      </c>
      <c r="AK10" s="24" t="str">
        <f t="shared" si="1"/>
        <v/>
      </c>
      <c r="AL10" s="25" t="str">
        <f>IF(B10="","",AJ10*N(D10)+AK10*N(D10)/Setup!$B$6*Setup!$B$7)</f>
        <v/>
      </c>
      <c r="AM10" s="25" t="str">
        <f>IF(B10="","",SUMIFS(Payments!$D$5:$D$304,Payments!$B$5:$B$304,A10,Payments!$A$5:$A$304,"&gt;="&amp;DATE(Setup!$B$4,2,1),Payments!$A$5:$A$304,"&lt;="&amp;EOMONTH(DATE(Setup!$B$4,2,1),0)))</f>
        <v/>
      </c>
      <c r="AN10" s="25" t="str">
        <f t="shared" si="2"/>
        <v/>
      </c>
    </row>
    <row r="11" spans="1:40" x14ac:dyDescent="0.3">
      <c r="A11" s="14" t="str">
        <f>IF(INDEX(Workers!$B:$B,ROW())="","",INDEX(Workers!$B:$B,ROW()))</f>
        <v/>
      </c>
      <c r="B11" s="21" t="str">
        <f>IF(INDEX(Workers!$C:$C,ROW())="","",INDEX(Workers!$C:$C,ROW()))</f>
        <v/>
      </c>
      <c r="C11" s="21" t="str">
        <f>IF(INDEX(Workers!$D:$D,ROW())="","",INDEX(Workers!$D:$D,ROW()))</f>
        <v/>
      </c>
      <c r="D11" s="22" t="str">
        <f>IF(INDEX(Workers!$E:$E,ROW())="","",INDEX(Workers!$E:$E,ROW()))</f>
        <v/>
      </c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4" t="str">
        <f t="shared" si="0"/>
        <v/>
      </c>
      <c r="AK11" s="24" t="str">
        <f t="shared" si="1"/>
        <v/>
      </c>
      <c r="AL11" s="25" t="str">
        <f>IF(B11="","",AJ11*N(D11)+AK11*N(D11)/Setup!$B$6*Setup!$B$7)</f>
        <v/>
      </c>
      <c r="AM11" s="25" t="str">
        <f>IF(B11="","",SUMIFS(Payments!$D$5:$D$304,Payments!$B$5:$B$304,A11,Payments!$A$5:$A$304,"&gt;="&amp;DATE(Setup!$B$4,2,1),Payments!$A$5:$A$304,"&lt;="&amp;EOMONTH(DATE(Setup!$B$4,2,1),0)))</f>
        <v/>
      </c>
      <c r="AN11" s="25" t="str">
        <f t="shared" si="2"/>
        <v/>
      </c>
    </row>
    <row r="12" spans="1:40" x14ac:dyDescent="0.3">
      <c r="A12" s="14" t="str">
        <f>IF(INDEX(Workers!$B:$B,ROW())="","",INDEX(Workers!$B:$B,ROW()))</f>
        <v/>
      </c>
      <c r="B12" s="21" t="str">
        <f>IF(INDEX(Workers!$C:$C,ROW())="","",INDEX(Workers!$C:$C,ROW()))</f>
        <v/>
      </c>
      <c r="C12" s="21" t="str">
        <f>IF(INDEX(Workers!$D:$D,ROW())="","",INDEX(Workers!$D:$D,ROW()))</f>
        <v/>
      </c>
      <c r="D12" s="22" t="str">
        <f>IF(INDEX(Workers!$E:$E,ROW())="","",INDEX(Workers!$E:$E,ROW()))</f>
        <v/>
      </c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4" t="str">
        <f t="shared" si="0"/>
        <v/>
      </c>
      <c r="AK12" s="24" t="str">
        <f t="shared" si="1"/>
        <v/>
      </c>
      <c r="AL12" s="25" t="str">
        <f>IF(B12="","",AJ12*N(D12)+AK12*N(D12)/Setup!$B$6*Setup!$B$7)</f>
        <v/>
      </c>
      <c r="AM12" s="25" t="str">
        <f>IF(B12="","",SUMIFS(Payments!$D$5:$D$304,Payments!$B$5:$B$304,A12,Payments!$A$5:$A$304,"&gt;="&amp;DATE(Setup!$B$4,2,1),Payments!$A$5:$A$304,"&lt;="&amp;EOMONTH(DATE(Setup!$B$4,2,1),0)))</f>
        <v/>
      </c>
      <c r="AN12" s="25" t="str">
        <f t="shared" si="2"/>
        <v/>
      </c>
    </row>
    <row r="13" spans="1:40" x14ac:dyDescent="0.3">
      <c r="A13" s="14" t="str">
        <f>IF(INDEX(Workers!$B:$B,ROW())="","",INDEX(Workers!$B:$B,ROW()))</f>
        <v/>
      </c>
      <c r="B13" s="21" t="str">
        <f>IF(INDEX(Workers!$C:$C,ROW())="","",INDEX(Workers!$C:$C,ROW()))</f>
        <v/>
      </c>
      <c r="C13" s="21" t="str">
        <f>IF(INDEX(Workers!$D:$D,ROW())="","",INDEX(Workers!$D:$D,ROW()))</f>
        <v/>
      </c>
      <c r="D13" s="22" t="str">
        <f>IF(INDEX(Workers!$E:$E,ROW())="","",INDEX(Workers!$E:$E,ROW()))</f>
        <v/>
      </c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4" t="str">
        <f t="shared" si="0"/>
        <v/>
      </c>
      <c r="AK13" s="24" t="str">
        <f t="shared" si="1"/>
        <v/>
      </c>
      <c r="AL13" s="25" t="str">
        <f>IF(B13="","",AJ13*N(D13)+AK13*N(D13)/Setup!$B$6*Setup!$B$7)</f>
        <v/>
      </c>
      <c r="AM13" s="25" t="str">
        <f>IF(B13="","",SUMIFS(Payments!$D$5:$D$304,Payments!$B$5:$B$304,A13,Payments!$A$5:$A$304,"&gt;="&amp;DATE(Setup!$B$4,2,1),Payments!$A$5:$A$304,"&lt;="&amp;EOMONTH(DATE(Setup!$B$4,2,1),0)))</f>
        <v/>
      </c>
      <c r="AN13" s="25" t="str">
        <f t="shared" si="2"/>
        <v/>
      </c>
    </row>
    <row r="14" spans="1:40" x14ac:dyDescent="0.3">
      <c r="A14" s="14" t="str">
        <f>IF(INDEX(Workers!$B:$B,ROW())="","",INDEX(Workers!$B:$B,ROW()))</f>
        <v/>
      </c>
      <c r="B14" s="21" t="str">
        <f>IF(INDEX(Workers!$C:$C,ROW())="","",INDEX(Workers!$C:$C,ROW()))</f>
        <v/>
      </c>
      <c r="C14" s="21" t="str">
        <f>IF(INDEX(Workers!$D:$D,ROW())="","",INDEX(Workers!$D:$D,ROW()))</f>
        <v/>
      </c>
      <c r="D14" s="22" t="str">
        <f>IF(INDEX(Workers!$E:$E,ROW())="","",INDEX(Workers!$E:$E,ROW()))</f>
        <v/>
      </c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4" t="str">
        <f t="shared" si="0"/>
        <v/>
      </c>
      <c r="AK14" s="24" t="str">
        <f t="shared" si="1"/>
        <v/>
      </c>
      <c r="AL14" s="25" t="str">
        <f>IF(B14="","",AJ14*N(D14)+AK14*N(D14)/Setup!$B$6*Setup!$B$7)</f>
        <v/>
      </c>
      <c r="AM14" s="25" t="str">
        <f>IF(B14="","",SUMIFS(Payments!$D$5:$D$304,Payments!$B$5:$B$304,A14,Payments!$A$5:$A$304,"&gt;="&amp;DATE(Setup!$B$4,2,1),Payments!$A$5:$A$304,"&lt;="&amp;EOMONTH(DATE(Setup!$B$4,2,1),0)))</f>
        <v/>
      </c>
      <c r="AN14" s="25" t="str">
        <f t="shared" si="2"/>
        <v/>
      </c>
    </row>
    <row r="15" spans="1:40" x14ac:dyDescent="0.3">
      <c r="A15" s="14" t="str">
        <f>IF(INDEX(Workers!$B:$B,ROW())="","",INDEX(Workers!$B:$B,ROW()))</f>
        <v/>
      </c>
      <c r="B15" s="21" t="str">
        <f>IF(INDEX(Workers!$C:$C,ROW())="","",INDEX(Workers!$C:$C,ROW()))</f>
        <v/>
      </c>
      <c r="C15" s="21" t="str">
        <f>IF(INDEX(Workers!$D:$D,ROW())="","",INDEX(Workers!$D:$D,ROW()))</f>
        <v/>
      </c>
      <c r="D15" s="22" t="str">
        <f>IF(INDEX(Workers!$E:$E,ROW())="","",INDEX(Workers!$E:$E,ROW()))</f>
        <v/>
      </c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4" t="str">
        <f t="shared" si="0"/>
        <v/>
      </c>
      <c r="AK15" s="24" t="str">
        <f t="shared" si="1"/>
        <v/>
      </c>
      <c r="AL15" s="25" t="str">
        <f>IF(B15="","",AJ15*N(D15)+AK15*N(D15)/Setup!$B$6*Setup!$B$7)</f>
        <v/>
      </c>
      <c r="AM15" s="25" t="str">
        <f>IF(B15="","",SUMIFS(Payments!$D$5:$D$304,Payments!$B$5:$B$304,A15,Payments!$A$5:$A$304,"&gt;="&amp;DATE(Setup!$B$4,2,1),Payments!$A$5:$A$304,"&lt;="&amp;EOMONTH(DATE(Setup!$B$4,2,1),0)))</f>
        <v/>
      </c>
      <c r="AN15" s="25" t="str">
        <f t="shared" si="2"/>
        <v/>
      </c>
    </row>
    <row r="16" spans="1:40" x14ac:dyDescent="0.3">
      <c r="A16" s="14" t="str">
        <f>IF(INDEX(Workers!$B:$B,ROW())="","",INDEX(Workers!$B:$B,ROW()))</f>
        <v/>
      </c>
      <c r="B16" s="21" t="str">
        <f>IF(INDEX(Workers!$C:$C,ROW())="","",INDEX(Workers!$C:$C,ROW()))</f>
        <v/>
      </c>
      <c r="C16" s="21" t="str">
        <f>IF(INDEX(Workers!$D:$D,ROW())="","",INDEX(Workers!$D:$D,ROW()))</f>
        <v/>
      </c>
      <c r="D16" s="22" t="str">
        <f>IF(INDEX(Workers!$E:$E,ROW())="","",INDEX(Workers!$E:$E,ROW()))</f>
        <v/>
      </c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4" t="str">
        <f t="shared" si="0"/>
        <v/>
      </c>
      <c r="AK16" s="24" t="str">
        <f t="shared" si="1"/>
        <v/>
      </c>
      <c r="AL16" s="25" t="str">
        <f>IF(B16="","",AJ16*N(D16)+AK16*N(D16)/Setup!$B$6*Setup!$B$7)</f>
        <v/>
      </c>
      <c r="AM16" s="25" t="str">
        <f>IF(B16="","",SUMIFS(Payments!$D$5:$D$304,Payments!$B$5:$B$304,A16,Payments!$A$5:$A$304,"&gt;="&amp;DATE(Setup!$B$4,2,1),Payments!$A$5:$A$304,"&lt;="&amp;EOMONTH(DATE(Setup!$B$4,2,1),0)))</f>
        <v/>
      </c>
      <c r="AN16" s="25" t="str">
        <f t="shared" si="2"/>
        <v/>
      </c>
    </row>
    <row r="17" spans="1:40" x14ac:dyDescent="0.3">
      <c r="A17" s="14" t="str">
        <f>IF(INDEX(Workers!$B:$B,ROW())="","",INDEX(Workers!$B:$B,ROW()))</f>
        <v/>
      </c>
      <c r="B17" s="21" t="str">
        <f>IF(INDEX(Workers!$C:$C,ROW())="","",INDEX(Workers!$C:$C,ROW()))</f>
        <v/>
      </c>
      <c r="C17" s="21" t="str">
        <f>IF(INDEX(Workers!$D:$D,ROW())="","",INDEX(Workers!$D:$D,ROW()))</f>
        <v/>
      </c>
      <c r="D17" s="22" t="str">
        <f>IF(INDEX(Workers!$E:$E,ROW())="","",INDEX(Workers!$E:$E,ROW()))</f>
        <v/>
      </c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4" t="str">
        <f t="shared" si="0"/>
        <v/>
      </c>
      <c r="AK17" s="24" t="str">
        <f t="shared" si="1"/>
        <v/>
      </c>
      <c r="AL17" s="25" t="str">
        <f>IF(B17="","",AJ17*N(D17)+AK17*N(D17)/Setup!$B$6*Setup!$B$7)</f>
        <v/>
      </c>
      <c r="AM17" s="25" t="str">
        <f>IF(B17="","",SUMIFS(Payments!$D$5:$D$304,Payments!$B$5:$B$304,A17,Payments!$A$5:$A$304,"&gt;="&amp;DATE(Setup!$B$4,2,1),Payments!$A$5:$A$304,"&lt;="&amp;EOMONTH(DATE(Setup!$B$4,2,1),0)))</f>
        <v/>
      </c>
      <c r="AN17" s="25" t="str">
        <f t="shared" si="2"/>
        <v/>
      </c>
    </row>
    <row r="18" spans="1:40" x14ac:dyDescent="0.3">
      <c r="A18" s="14" t="str">
        <f>IF(INDEX(Workers!$B:$B,ROW())="","",INDEX(Workers!$B:$B,ROW()))</f>
        <v/>
      </c>
      <c r="B18" s="21" t="str">
        <f>IF(INDEX(Workers!$C:$C,ROW())="","",INDEX(Workers!$C:$C,ROW()))</f>
        <v/>
      </c>
      <c r="C18" s="21" t="str">
        <f>IF(INDEX(Workers!$D:$D,ROW())="","",INDEX(Workers!$D:$D,ROW()))</f>
        <v/>
      </c>
      <c r="D18" s="22" t="str">
        <f>IF(INDEX(Workers!$E:$E,ROW())="","",INDEX(Workers!$E:$E,ROW()))</f>
        <v/>
      </c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4" t="str">
        <f t="shared" si="0"/>
        <v/>
      </c>
      <c r="AK18" s="24" t="str">
        <f t="shared" si="1"/>
        <v/>
      </c>
      <c r="AL18" s="25" t="str">
        <f>IF(B18="","",AJ18*N(D18)+AK18*N(D18)/Setup!$B$6*Setup!$B$7)</f>
        <v/>
      </c>
      <c r="AM18" s="25" t="str">
        <f>IF(B18="","",SUMIFS(Payments!$D$5:$D$304,Payments!$B$5:$B$304,A18,Payments!$A$5:$A$304,"&gt;="&amp;DATE(Setup!$B$4,2,1),Payments!$A$5:$A$304,"&lt;="&amp;EOMONTH(DATE(Setup!$B$4,2,1),0)))</f>
        <v/>
      </c>
      <c r="AN18" s="25" t="str">
        <f t="shared" si="2"/>
        <v/>
      </c>
    </row>
    <row r="19" spans="1:40" x14ac:dyDescent="0.3">
      <c r="A19" s="14" t="str">
        <f>IF(INDEX(Workers!$B:$B,ROW())="","",INDEX(Workers!$B:$B,ROW()))</f>
        <v/>
      </c>
      <c r="B19" s="21" t="str">
        <f>IF(INDEX(Workers!$C:$C,ROW())="","",INDEX(Workers!$C:$C,ROW()))</f>
        <v/>
      </c>
      <c r="C19" s="21" t="str">
        <f>IF(INDEX(Workers!$D:$D,ROW())="","",INDEX(Workers!$D:$D,ROW()))</f>
        <v/>
      </c>
      <c r="D19" s="22" t="str">
        <f>IF(INDEX(Workers!$E:$E,ROW())="","",INDEX(Workers!$E:$E,ROW()))</f>
        <v/>
      </c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4" t="str">
        <f t="shared" si="0"/>
        <v/>
      </c>
      <c r="AK19" s="24" t="str">
        <f t="shared" si="1"/>
        <v/>
      </c>
      <c r="AL19" s="25" t="str">
        <f>IF(B19="","",AJ19*N(D19)+AK19*N(D19)/Setup!$B$6*Setup!$B$7)</f>
        <v/>
      </c>
      <c r="AM19" s="25" t="str">
        <f>IF(B19="","",SUMIFS(Payments!$D$5:$D$304,Payments!$B$5:$B$304,A19,Payments!$A$5:$A$304,"&gt;="&amp;DATE(Setup!$B$4,2,1),Payments!$A$5:$A$304,"&lt;="&amp;EOMONTH(DATE(Setup!$B$4,2,1),0)))</f>
        <v/>
      </c>
      <c r="AN19" s="25" t="str">
        <f t="shared" si="2"/>
        <v/>
      </c>
    </row>
    <row r="20" spans="1:40" x14ac:dyDescent="0.3">
      <c r="A20" s="14" t="str">
        <f>IF(INDEX(Workers!$B:$B,ROW())="","",INDEX(Workers!$B:$B,ROW()))</f>
        <v/>
      </c>
      <c r="B20" s="21" t="str">
        <f>IF(INDEX(Workers!$C:$C,ROW())="","",INDEX(Workers!$C:$C,ROW()))</f>
        <v/>
      </c>
      <c r="C20" s="21" t="str">
        <f>IF(INDEX(Workers!$D:$D,ROW())="","",INDEX(Workers!$D:$D,ROW()))</f>
        <v/>
      </c>
      <c r="D20" s="22" t="str">
        <f>IF(INDEX(Workers!$E:$E,ROW())="","",INDEX(Workers!$E:$E,ROW()))</f>
        <v/>
      </c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4" t="str">
        <f t="shared" si="0"/>
        <v/>
      </c>
      <c r="AK20" s="24" t="str">
        <f t="shared" si="1"/>
        <v/>
      </c>
      <c r="AL20" s="25" t="str">
        <f>IF(B20="","",AJ20*N(D20)+AK20*N(D20)/Setup!$B$6*Setup!$B$7)</f>
        <v/>
      </c>
      <c r="AM20" s="25" t="str">
        <f>IF(B20="","",SUMIFS(Payments!$D$5:$D$304,Payments!$B$5:$B$304,A20,Payments!$A$5:$A$304,"&gt;="&amp;DATE(Setup!$B$4,2,1),Payments!$A$5:$A$304,"&lt;="&amp;EOMONTH(DATE(Setup!$B$4,2,1),0)))</f>
        <v/>
      </c>
      <c r="AN20" s="25" t="str">
        <f t="shared" si="2"/>
        <v/>
      </c>
    </row>
    <row r="21" spans="1:40" x14ac:dyDescent="0.3">
      <c r="A21" s="14" t="str">
        <f>IF(INDEX(Workers!$B:$B,ROW())="","",INDEX(Workers!$B:$B,ROW()))</f>
        <v/>
      </c>
      <c r="B21" s="21" t="str">
        <f>IF(INDEX(Workers!$C:$C,ROW())="","",INDEX(Workers!$C:$C,ROW()))</f>
        <v/>
      </c>
      <c r="C21" s="21" t="str">
        <f>IF(INDEX(Workers!$D:$D,ROW())="","",INDEX(Workers!$D:$D,ROW()))</f>
        <v/>
      </c>
      <c r="D21" s="22" t="str">
        <f>IF(INDEX(Workers!$E:$E,ROW())="","",INDEX(Workers!$E:$E,ROW()))</f>
        <v/>
      </c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4" t="str">
        <f t="shared" si="0"/>
        <v/>
      </c>
      <c r="AK21" s="24" t="str">
        <f t="shared" si="1"/>
        <v/>
      </c>
      <c r="AL21" s="25" t="str">
        <f>IF(B21="","",AJ21*N(D21)+AK21*N(D21)/Setup!$B$6*Setup!$B$7)</f>
        <v/>
      </c>
      <c r="AM21" s="25" t="str">
        <f>IF(B21="","",SUMIFS(Payments!$D$5:$D$304,Payments!$B$5:$B$304,A21,Payments!$A$5:$A$304,"&gt;="&amp;DATE(Setup!$B$4,2,1),Payments!$A$5:$A$304,"&lt;="&amp;EOMONTH(DATE(Setup!$B$4,2,1),0)))</f>
        <v/>
      </c>
      <c r="AN21" s="25" t="str">
        <f t="shared" si="2"/>
        <v/>
      </c>
    </row>
    <row r="22" spans="1:40" x14ac:dyDescent="0.3">
      <c r="A22" s="14" t="str">
        <f>IF(INDEX(Workers!$B:$B,ROW())="","",INDEX(Workers!$B:$B,ROW()))</f>
        <v/>
      </c>
      <c r="B22" s="21" t="str">
        <f>IF(INDEX(Workers!$C:$C,ROW())="","",INDEX(Workers!$C:$C,ROW()))</f>
        <v/>
      </c>
      <c r="C22" s="21" t="str">
        <f>IF(INDEX(Workers!$D:$D,ROW())="","",INDEX(Workers!$D:$D,ROW()))</f>
        <v/>
      </c>
      <c r="D22" s="22" t="str">
        <f>IF(INDEX(Workers!$E:$E,ROW())="","",INDEX(Workers!$E:$E,ROW()))</f>
        <v/>
      </c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4" t="str">
        <f t="shared" si="0"/>
        <v/>
      </c>
      <c r="AK22" s="24" t="str">
        <f t="shared" si="1"/>
        <v/>
      </c>
      <c r="AL22" s="25" t="str">
        <f>IF(B22="","",AJ22*N(D22)+AK22*N(D22)/Setup!$B$6*Setup!$B$7)</f>
        <v/>
      </c>
      <c r="AM22" s="25" t="str">
        <f>IF(B22="","",SUMIFS(Payments!$D$5:$D$304,Payments!$B$5:$B$304,A22,Payments!$A$5:$A$304,"&gt;="&amp;DATE(Setup!$B$4,2,1),Payments!$A$5:$A$304,"&lt;="&amp;EOMONTH(DATE(Setup!$B$4,2,1),0)))</f>
        <v/>
      </c>
      <c r="AN22" s="25" t="str">
        <f t="shared" si="2"/>
        <v/>
      </c>
    </row>
    <row r="23" spans="1:40" x14ac:dyDescent="0.3">
      <c r="A23" s="14" t="str">
        <f>IF(INDEX(Workers!$B:$B,ROW())="","",INDEX(Workers!$B:$B,ROW()))</f>
        <v/>
      </c>
      <c r="B23" s="21" t="str">
        <f>IF(INDEX(Workers!$C:$C,ROW())="","",INDEX(Workers!$C:$C,ROW()))</f>
        <v/>
      </c>
      <c r="C23" s="21" t="str">
        <f>IF(INDEX(Workers!$D:$D,ROW())="","",INDEX(Workers!$D:$D,ROW()))</f>
        <v/>
      </c>
      <c r="D23" s="22" t="str">
        <f>IF(INDEX(Workers!$E:$E,ROW())="","",INDEX(Workers!$E:$E,ROW()))</f>
        <v/>
      </c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4" t="str">
        <f t="shared" si="0"/>
        <v/>
      </c>
      <c r="AK23" s="24" t="str">
        <f t="shared" si="1"/>
        <v/>
      </c>
      <c r="AL23" s="25" t="str">
        <f>IF(B23="","",AJ23*N(D23)+AK23*N(D23)/Setup!$B$6*Setup!$B$7)</f>
        <v/>
      </c>
      <c r="AM23" s="25" t="str">
        <f>IF(B23="","",SUMIFS(Payments!$D$5:$D$304,Payments!$B$5:$B$304,A23,Payments!$A$5:$A$304,"&gt;="&amp;DATE(Setup!$B$4,2,1),Payments!$A$5:$A$304,"&lt;="&amp;EOMONTH(DATE(Setup!$B$4,2,1),0)))</f>
        <v/>
      </c>
      <c r="AN23" s="25" t="str">
        <f t="shared" si="2"/>
        <v/>
      </c>
    </row>
    <row r="24" spans="1:40" x14ac:dyDescent="0.3">
      <c r="A24" s="14" t="str">
        <f>IF(INDEX(Workers!$B:$B,ROW())="","",INDEX(Workers!$B:$B,ROW()))</f>
        <v/>
      </c>
      <c r="B24" s="21" t="str">
        <f>IF(INDEX(Workers!$C:$C,ROW())="","",INDEX(Workers!$C:$C,ROW()))</f>
        <v/>
      </c>
      <c r="C24" s="21" t="str">
        <f>IF(INDEX(Workers!$D:$D,ROW())="","",INDEX(Workers!$D:$D,ROW()))</f>
        <v/>
      </c>
      <c r="D24" s="22" t="str">
        <f>IF(INDEX(Workers!$E:$E,ROW())="","",INDEX(Workers!$E:$E,ROW()))</f>
        <v/>
      </c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4" t="str">
        <f t="shared" si="0"/>
        <v/>
      </c>
      <c r="AK24" s="24" t="str">
        <f t="shared" si="1"/>
        <v/>
      </c>
      <c r="AL24" s="25" t="str">
        <f>IF(B24="","",AJ24*N(D24)+AK24*N(D24)/Setup!$B$6*Setup!$B$7)</f>
        <v/>
      </c>
      <c r="AM24" s="25" t="str">
        <f>IF(B24="","",SUMIFS(Payments!$D$5:$D$304,Payments!$B$5:$B$304,A24,Payments!$A$5:$A$304,"&gt;="&amp;DATE(Setup!$B$4,2,1),Payments!$A$5:$A$304,"&lt;="&amp;EOMONTH(DATE(Setup!$B$4,2,1),0)))</f>
        <v/>
      </c>
      <c r="AN24" s="25" t="str">
        <f t="shared" si="2"/>
        <v/>
      </c>
    </row>
    <row r="25" spans="1:40" x14ac:dyDescent="0.3">
      <c r="A25" s="14" t="str">
        <f>IF(INDEX(Workers!$B:$B,ROW())="","",INDEX(Workers!$B:$B,ROW()))</f>
        <v/>
      </c>
      <c r="B25" s="21" t="str">
        <f>IF(INDEX(Workers!$C:$C,ROW())="","",INDEX(Workers!$C:$C,ROW()))</f>
        <v/>
      </c>
      <c r="C25" s="21" t="str">
        <f>IF(INDEX(Workers!$D:$D,ROW())="","",INDEX(Workers!$D:$D,ROW()))</f>
        <v/>
      </c>
      <c r="D25" s="22" t="str">
        <f>IF(INDEX(Workers!$E:$E,ROW())="","",INDEX(Workers!$E:$E,ROW()))</f>
        <v/>
      </c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4" t="str">
        <f t="shared" si="0"/>
        <v/>
      </c>
      <c r="AK25" s="24" t="str">
        <f t="shared" si="1"/>
        <v/>
      </c>
      <c r="AL25" s="25" t="str">
        <f>IF(B25="","",AJ25*N(D25)+AK25*N(D25)/Setup!$B$6*Setup!$B$7)</f>
        <v/>
      </c>
      <c r="AM25" s="25" t="str">
        <f>IF(B25="","",SUMIFS(Payments!$D$5:$D$304,Payments!$B$5:$B$304,A25,Payments!$A$5:$A$304,"&gt;="&amp;DATE(Setup!$B$4,2,1),Payments!$A$5:$A$304,"&lt;="&amp;EOMONTH(DATE(Setup!$B$4,2,1),0)))</f>
        <v/>
      </c>
      <c r="AN25" s="25" t="str">
        <f t="shared" si="2"/>
        <v/>
      </c>
    </row>
    <row r="26" spans="1:40" x14ac:dyDescent="0.3">
      <c r="A26" s="14" t="str">
        <f>IF(INDEX(Workers!$B:$B,ROW())="","",INDEX(Workers!$B:$B,ROW()))</f>
        <v/>
      </c>
      <c r="B26" s="21" t="str">
        <f>IF(INDEX(Workers!$C:$C,ROW())="","",INDEX(Workers!$C:$C,ROW()))</f>
        <v/>
      </c>
      <c r="C26" s="21" t="str">
        <f>IF(INDEX(Workers!$D:$D,ROW())="","",INDEX(Workers!$D:$D,ROW()))</f>
        <v/>
      </c>
      <c r="D26" s="22" t="str">
        <f>IF(INDEX(Workers!$E:$E,ROW())="","",INDEX(Workers!$E:$E,ROW()))</f>
        <v/>
      </c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4" t="str">
        <f t="shared" si="0"/>
        <v/>
      </c>
      <c r="AK26" s="24" t="str">
        <f t="shared" si="1"/>
        <v/>
      </c>
      <c r="AL26" s="25" t="str">
        <f>IF(B26="","",AJ26*N(D26)+AK26*N(D26)/Setup!$B$6*Setup!$B$7)</f>
        <v/>
      </c>
      <c r="AM26" s="25" t="str">
        <f>IF(B26="","",SUMIFS(Payments!$D$5:$D$304,Payments!$B$5:$B$304,A26,Payments!$A$5:$A$304,"&gt;="&amp;DATE(Setup!$B$4,2,1),Payments!$A$5:$A$304,"&lt;="&amp;EOMONTH(DATE(Setup!$B$4,2,1),0)))</f>
        <v/>
      </c>
      <c r="AN26" s="25" t="str">
        <f t="shared" si="2"/>
        <v/>
      </c>
    </row>
    <row r="27" spans="1:40" x14ac:dyDescent="0.3">
      <c r="A27" s="14" t="str">
        <f>IF(INDEX(Workers!$B:$B,ROW())="","",INDEX(Workers!$B:$B,ROW()))</f>
        <v/>
      </c>
      <c r="B27" s="21" t="str">
        <f>IF(INDEX(Workers!$C:$C,ROW())="","",INDEX(Workers!$C:$C,ROW()))</f>
        <v/>
      </c>
      <c r="C27" s="21" t="str">
        <f>IF(INDEX(Workers!$D:$D,ROW())="","",INDEX(Workers!$D:$D,ROW()))</f>
        <v/>
      </c>
      <c r="D27" s="22" t="str">
        <f>IF(INDEX(Workers!$E:$E,ROW())="","",INDEX(Workers!$E:$E,ROW()))</f>
        <v/>
      </c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4" t="str">
        <f t="shared" si="0"/>
        <v/>
      </c>
      <c r="AK27" s="24" t="str">
        <f t="shared" si="1"/>
        <v/>
      </c>
      <c r="AL27" s="25" t="str">
        <f>IF(B27="","",AJ27*N(D27)+AK27*N(D27)/Setup!$B$6*Setup!$B$7)</f>
        <v/>
      </c>
      <c r="AM27" s="25" t="str">
        <f>IF(B27="","",SUMIFS(Payments!$D$5:$D$304,Payments!$B$5:$B$304,A27,Payments!$A$5:$A$304,"&gt;="&amp;DATE(Setup!$B$4,2,1),Payments!$A$5:$A$304,"&lt;="&amp;EOMONTH(DATE(Setup!$B$4,2,1),0)))</f>
        <v/>
      </c>
      <c r="AN27" s="25" t="str">
        <f t="shared" si="2"/>
        <v/>
      </c>
    </row>
    <row r="28" spans="1:40" x14ac:dyDescent="0.3">
      <c r="A28" s="14" t="str">
        <f>IF(INDEX(Workers!$B:$B,ROW())="","",INDEX(Workers!$B:$B,ROW()))</f>
        <v/>
      </c>
      <c r="B28" s="21" t="str">
        <f>IF(INDEX(Workers!$C:$C,ROW())="","",INDEX(Workers!$C:$C,ROW()))</f>
        <v/>
      </c>
      <c r="C28" s="21" t="str">
        <f>IF(INDEX(Workers!$D:$D,ROW())="","",INDEX(Workers!$D:$D,ROW()))</f>
        <v/>
      </c>
      <c r="D28" s="22" t="str">
        <f>IF(INDEX(Workers!$E:$E,ROW())="","",INDEX(Workers!$E:$E,ROW()))</f>
        <v/>
      </c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4" t="str">
        <f t="shared" si="0"/>
        <v/>
      </c>
      <c r="AK28" s="24" t="str">
        <f t="shared" si="1"/>
        <v/>
      </c>
      <c r="AL28" s="25" t="str">
        <f>IF(B28="","",AJ28*N(D28)+AK28*N(D28)/Setup!$B$6*Setup!$B$7)</f>
        <v/>
      </c>
      <c r="AM28" s="25" t="str">
        <f>IF(B28="","",SUMIFS(Payments!$D$5:$D$304,Payments!$B$5:$B$304,A28,Payments!$A$5:$A$304,"&gt;="&amp;DATE(Setup!$B$4,2,1),Payments!$A$5:$A$304,"&lt;="&amp;EOMONTH(DATE(Setup!$B$4,2,1),0)))</f>
        <v/>
      </c>
      <c r="AN28" s="25" t="str">
        <f t="shared" si="2"/>
        <v/>
      </c>
    </row>
    <row r="29" spans="1:40" x14ac:dyDescent="0.3">
      <c r="A29" s="14" t="str">
        <f>IF(INDEX(Workers!$B:$B,ROW())="","",INDEX(Workers!$B:$B,ROW()))</f>
        <v/>
      </c>
      <c r="B29" s="21" t="str">
        <f>IF(INDEX(Workers!$C:$C,ROW())="","",INDEX(Workers!$C:$C,ROW()))</f>
        <v/>
      </c>
      <c r="C29" s="21" t="str">
        <f>IF(INDEX(Workers!$D:$D,ROW())="","",INDEX(Workers!$D:$D,ROW()))</f>
        <v/>
      </c>
      <c r="D29" s="22" t="str">
        <f>IF(INDEX(Workers!$E:$E,ROW())="","",INDEX(Workers!$E:$E,ROW()))</f>
        <v/>
      </c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4" t="str">
        <f t="shared" si="0"/>
        <v/>
      </c>
      <c r="AK29" s="24" t="str">
        <f t="shared" si="1"/>
        <v/>
      </c>
      <c r="AL29" s="25" t="str">
        <f>IF(B29="","",AJ29*N(D29)+AK29*N(D29)/Setup!$B$6*Setup!$B$7)</f>
        <v/>
      </c>
      <c r="AM29" s="25" t="str">
        <f>IF(B29="","",SUMIFS(Payments!$D$5:$D$304,Payments!$B$5:$B$304,A29,Payments!$A$5:$A$304,"&gt;="&amp;DATE(Setup!$B$4,2,1),Payments!$A$5:$A$304,"&lt;="&amp;EOMONTH(DATE(Setup!$B$4,2,1),0)))</f>
        <v/>
      </c>
      <c r="AN29" s="25" t="str">
        <f t="shared" si="2"/>
        <v/>
      </c>
    </row>
    <row r="30" spans="1:40" x14ac:dyDescent="0.3">
      <c r="A30" s="14" t="str">
        <f>IF(INDEX(Workers!$B:$B,ROW())="","",INDEX(Workers!$B:$B,ROW()))</f>
        <v/>
      </c>
      <c r="B30" s="21" t="str">
        <f>IF(INDEX(Workers!$C:$C,ROW())="","",INDEX(Workers!$C:$C,ROW()))</f>
        <v/>
      </c>
      <c r="C30" s="21" t="str">
        <f>IF(INDEX(Workers!$D:$D,ROW())="","",INDEX(Workers!$D:$D,ROW()))</f>
        <v/>
      </c>
      <c r="D30" s="22" t="str">
        <f>IF(INDEX(Workers!$E:$E,ROW())="","",INDEX(Workers!$E:$E,ROW()))</f>
        <v/>
      </c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4" t="str">
        <f t="shared" si="0"/>
        <v/>
      </c>
      <c r="AK30" s="24" t="str">
        <f t="shared" si="1"/>
        <v/>
      </c>
      <c r="AL30" s="25" t="str">
        <f>IF(B30="","",AJ30*N(D30)+AK30*N(D30)/Setup!$B$6*Setup!$B$7)</f>
        <v/>
      </c>
      <c r="AM30" s="25" t="str">
        <f>IF(B30="","",SUMIFS(Payments!$D$5:$D$304,Payments!$B$5:$B$304,A30,Payments!$A$5:$A$304,"&gt;="&amp;DATE(Setup!$B$4,2,1),Payments!$A$5:$A$304,"&lt;="&amp;EOMONTH(DATE(Setup!$B$4,2,1),0)))</f>
        <v/>
      </c>
      <c r="AN30" s="25" t="str">
        <f t="shared" si="2"/>
        <v/>
      </c>
    </row>
    <row r="31" spans="1:40" x14ac:dyDescent="0.3">
      <c r="A31" s="14" t="str">
        <f>IF(INDEX(Workers!$B:$B,ROW())="","",INDEX(Workers!$B:$B,ROW()))</f>
        <v/>
      </c>
      <c r="B31" s="21" t="str">
        <f>IF(INDEX(Workers!$C:$C,ROW())="","",INDEX(Workers!$C:$C,ROW()))</f>
        <v/>
      </c>
      <c r="C31" s="21" t="str">
        <f>IF(INDEX(Workers!$D:$D,ROW())="","",INDEX(Workers!$D:$D,ROW()))</f>
        <v/>
      </c>
      <c r="D31" s="22" t="str">
        <f>IF(INDEX(Workers!$E:$E,ROW())="","",INDEX(Workers!$E:$E,ROW()))</f>
        <v/>
      </c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4" t="str">
        <f t="shared" si="0"/>
        <v/>
      </c>
      <c r="AK31" s="24" t="str">
        <f t="shared" si="1"/>
        <v/>
      </c>
      <c r="AL31" s="25" t="str">
        <f>IF(B31="","",AJ31*N(D31)+AK31*N(D31)/Setup!$B$6*Setup!$B$7)</f>
        <v/>
      </c>
      <c r="AM31" s="25" t="str">
        <f>IF(B31="","",SUMIFS(Payments!$D$5:$D$304,Payments!$B$5:$B$304,A31,Payments!$A$5:$A$304,"&gt;="&amp;DATE(Setup!$B$4,2,1),Payments!$A$5:$A$304,"&lt;="&amp;EOMONTH(DATE(Setup!$B$4,2,1),0)))</f>
        <v/>
      </c>
      <c r="AN31" s="25" t="str">
        <f t="shared" si="2"/>
        <v/>
      </c>
    </row>
    <row r="32" spans="1:40" x14ac:dyDescent="0.3">
      <c r="A32" s="14" t="str">
        <f>IF(INDEX(Workers!$B:$B,ROW())="","",INDEX(Workers!$B:$B,ROW()))</f>
        <v/>
      </c>
      <c r="B32" s="21" t="str">
        <f>IF(INDEX(Workers!$C:$C,ROW())="","",INDEX(Workers!$C:$C,ROW()))</f>
        <v/>
      </c>
      <c r="C32" s="21" t="str">
        <f>IF(INDEX(Workers!$D:$D,ROW())="","",INDEX(Workers!$D:$D,ROW()))</f>
        <v/>
      </c>
      <c r="D32" s="22" t="str">
        <f>IF(INDEX(Workers!$E:$E,ROW())="","",INDEX(Workers!$E:$E,ROW()))</f>
        <v/>
      </c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4" t="str">
        <f t="shared" si="0"/>
        <v/>
      </c>
      <c r="AK32" s="24" t="str">
        <f t="shared" si="1"/>
        <v/>
      </c>
      <c r="AL32" s="25" t="str">
        <f>IF(B32="","",AJ32*N(D32)+AK32*N(D32)/Setup!$B$6*Setup!$B$7)</f>
        <v/>
      </c>
      <c r="AM32" s="25" t="str">
        <f>IF(B32="","",SUMIFS(Payments!$D$5:$D$304,Payments!$B$5:$B$304,A32,Payments!$A$5:$A$304,"&gt;="&amp;DATE(Setup!$B$4,2,1),Payments!$A$5:$A$304,"&lt;="&amp;EOMONTH(DATE(Setup!$B$4,2,1),0)))</f>
        <v/>
      </c>
      <c r="AN32" s="25" t="str">
        <f t="shared" si="2"/>
        <v/>
      </c>
    </row>
    <row r="33" spans="1:40" x14ac:dyDescent="0.3">
      <c r="A33" s="14" t="str">
        <f>IF(INDEX(Workers!$B:$B,ROW())="","",INDEX(Workers!$B:$B,ROW()))</f>
        <v/>
      </c>
      <c r="B33" s="21" t="str">
        <f>IF(INDEX(Workers!$C:$C,ROW())="","",INDEX(Workers!$C:$C,ROW()))</f>
        <v/>
      </c>
      <c r="C33" s="21" t="str">
        <f>IF(INDEX(Workers!$D:$D,ROW())="","",INDEX(Workers!$D:$D,ROW()))</f>
        <v/>
      </c>
      <c r="D33" s="22" t="str">
        <f>IF(INDEX(Workers!$E:$E,ROW())="","",INDEX(Workers!$E:$E,ROW()))</f>
        <v/>
      </c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4" t="str">
        <f t="shared" si="0"/>
        <v/>
      </c>
      <c r="AK33" s="24" t="str">
        <f t="shared" si="1"/>
        <v/>
      </c>
      <c r="AL33" s="25" t="str">
        <f>IF(B33="","",AJ33*N(D33)+AK33*N(D33)/Setup!$B$6*Setup!$B$7)</f>
        <v/>
      </c>
      <c r="AM33" s="25" t="str">
        <f>IF(B33="","",SUMIFS(Payments!$D$5:$D$304,Payments!$B$5:$B$304,A33,Payments!$A$5:$A$304,"&gt;="&amp;DATE(Setup!$B$4,2,1),Payments!$A$5:$A$304,"&lt;="&amp;EOMONTH(DATE(Setup!$B$4,2,1),0)))</f>
        <v/>
      </c>
      <c r="AN33" s="25" t="str">
        <f t="shared" si="2"/>
        <v/>
      </c>
    </row>
    <row r="34" spans="1:40" x14ac:dyDescent="0.3">
      <c r="A34" s="14" t="str">
        <f>IF(INDEX(Workers!$B:$B,ROW())="","",INDEX(Workers!$B:$B,ROW()))</f>
        <v/>
      </c>
      <c r="B34" s="21" t="str">
        <f>IF(INDEX(Workers!$C:$C,ROW())="","",INDEX(Workers!$C:$C,ROW()))</f>
        <v/>
      </c>
      <c r="C34" s="21" t="str">
        <f>IF(INDEX(Workers!$D:$D,ROW())="","",INDEX(Workers!$D:$D,ROW()))</f>
        <v/>
      </c>
      <c r="D34" s="22" t="str">
        <f>IF(INDEX(Workers!$E:$E,ROW())="","",INDEX(Workers!$E:$E,ROW()))</f>
        <v/>
      </c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4" t="str">
        <f t="shared" si="0"/>
        <v/>
      </c>
      <c r="AK34" s="24" t="str">
        <f t="shared" si="1"/>
        <v/>
      </c>
      <c r="AL34" s="25" t="str">
        <f>IF(B34="","",AJ34*N(D34)+AK34*N(D34)/Setup!$B$6*Setup!$B$7)</f>
        <v/>
      </c>
      <c r="AM34" s="25" t="str">
        <f>IF(B34="","",SUMIFS(Payments!$D$5:$D$304,Payments!$B$5:$B$304,A34,Payments!$A$5:$A$304,"&gt;="&amp;DATE(Setup!$B$4,2,1),Payments!$A$5:$A$304,"&lt;="&amp;EOMONTH(DATE(Setup!$B$4,2,1),0)))</f>
        <v/>
      </c>
      <c r="AN34" s="25" t="str">
        <f t="shared" si="2"/>
        <v/>
      </c>
    </row>
    <row r="35" spans="1:40" x14ac:dyDescent="0.3">
      <c r="A35" s="14" t="str">
        <f>IF(INDEX(Workers!$B:$B,ROW())="","",INDEX(Workers!$B:$B,ROW()))</f>
        <v/>
      </c>
      <c r="B35" s="21" t="str">
        <f>IF(INDEX(Workers!$C:$C,ROW())="","",INDEX(Workers!$C:$C,ROW()))</f>
        <v/>
      </c>
      <c r="C35" s="21" t="str">
        <f>IF(INDEX(Workers!$D:$D,ROW())="","",INDEX(Workers!$D:$D,ROW()))</f>
        <v/>
      </c>
      <c r="D35" s="22" t="str">
        <f>IF(INDEX(Workers!$E:$E,ROW())="","",INDEX(Workers!$E:$E,ROW()))</f>
        <v/>
      </c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4" t="str">
        <f t="shared" si="0"/>
        <v/>
      </c>
      <c r="AK35" s="24" t="str">
        <f t="shared" si="1"/>
        <v/>
      </c>
      <c r="AL35" s="25" t="str">
        <f>IF(B35="","",AJ35*N(D35)+AK35*N(D35)/Setup!$B$6*Setup!$B$7)</f>
        <v/>
      </c>
      <c r="AM35" s="25" t="str">
        <f>IF(B35="","",SUMIFS(Payments!$D$5:$D$304,Payments!$B$5:$B$304,A35,Payments!$A$5:$A$304,"&gt;="&amp;DATE(Setup!$B$4,2,1),Payments!$A$5:$A$304,"&lt;="&amp;EOMONTH(DATE(Setup!$B$4,2,1),0)))</f>
        <v/>
      </c>
      <c r="AN35" s="25" t="str">
        <f t="shared" si="2"/>
        <v/>
      </c>
    </row>
    <row r="36" spans="1:40" x14ac:dyDescent="0.3">
      <c r="A36" s="14" t="str">
        <f>IF(INDEX(Workers!$B:$B,ROW())="","",INDEX(Workers!$B:$B,ROW()))</f>
        <v/>
      </c>
      <c r="B36" s="21" t="str">
        <f>IF(INDEX(Workers!$C:$C,ROW())="","",INDEX(Workers!$C:$C,ROW()))</f>
        <v/>
      </c>
      <c r="C36" s="21" t="str">
        <f>IF(INDEX(Workers!$D:$D,ROW())="","",INDEX(Workers!$D:$D,ROW()))</f>
        <v/>
      </c>
      <c r="D36" s="22" t="str">
        <f>IF(INDEX(Workers!$E:$E,ROW())="","",INDEX(Workers!$E:$E,ROW()))</f>
        <v/>
      </c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4" t="str">
        <f t="shared" si="0"/>
        <v/>
      </c>
      <c r="AK36" s="24" t="str">
        <f t="shared" si="1"/>
        <v/>
      </c>
      <c r="AL36" s="25" t="str">
        <f>IF(B36="","",AJ36*N(D36)+AK36*N(D36)/Setup!$B$6*Setup!$B$7)</f>
        <v/>
      </c>
      <c r="AM36" s="25" t="str">
        <f>IF(B36="","",SUMIFS(Payments!$D$5:$D$304,Payments!$B$5:$B$304,A36,Payments!$A$5:$A$304,"&gt;="&amp;DATE(Setup!$B$4,2,1),Payments!$A$5:$A$304,"&lt;="&amp;EOMONTH(DATE(Setup!$B$4,2,1),0)))</f>
        <v/>
      </c>
      <c r="AN36" s="25" t="str">
        <f t="shared" si="2"/>
        <v/>
      </c>
    </row>
    <row r="37" spans="1:40" x14ac:dyDescent="0.3">
      <c r="A37" s="14" t="str">
        <f>IF(INDEX(Workers!$B:$B,ROW())="","",INDEX(Workers!$B:$B,ROW()))</f>
        <v/>
      </c>
      <c r="B37" s="21" t="str">
        <f>IF(INDEX(Workers!$C:$C,ROW())="","",INDEX(Workers!$C:$C,ROW()))</f>
        <v/>
      </c>
      <c r="C37" s="21" t="str">
        <f>IF(INDEX(Workers!$D:$D,ROW())="","",INDEX(Workers!$D:$D,ROW()))</f>
        <v/>
      </c>
      <c r="D37" s="22" t="str">
        <f>IF(INDEX(Workers!$E:$E,ROW())="","",INDEX(Workers!$E:$E,ROW()))</f>
        <v/>
      </c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4" t="str">
        <f t="shared" si="0"/>
        <v/>
      </c>
      <c r="AK37" s="24" t="str">
        <f t="shared" si="1"/>
        <v/>
      </c>
      <c r="AL37" s="25" t="str">
        <f>IF(B37="","",AJ37*N(D37)+AK37*N(D37)/Setup!$B$6*Setup!$B$7)</f>
        <v/>
      </c>
      <c r="AM37" s="25" t="str">
        <f>IF(B37="","",SUMIFS(Payments!$D$5:$D$304,Payments!$B$5:$B$304,A37,Payments!$A$5:$A$304,"&gt;="&amp;DATE(Setup!$B$4,2,1),Payments!$A$5:$A$304,"&lt;="&amp;EOMONTH(DATE(Setup!$B$4,2,1),0)))</f>
        <v/>
      </c>
      <c r="AN37" s="25" t="str">
        <f t="shared" si="2"/>
        <v/>
      </c>
    </row>
    <row r="38" spans="1:40" x14ac:dyDescent="0.3">
      <c r="A38" s="14" t="str">
        <f>IF(INDEX(Workers!$B:$B,ROW())="","",INDEX(Workers!$B:$B,ROW()))</f>
        <v/>
      </c>
      <c r="B38" s="21" t="str">
        <f>IF(INDEX(Workers!$C:$C,ROW())="","",INDEX(Workers!$C:$C,ROW()))</f>
        <v/>
      </c>
      <c r="C38" s="21" t="str">
        <f>IF(INDEX(Workers!$D:$D,ROW())="","",INDEX(Workers!$D:$D,ROW()))</f>
        <v/>
      </c>
      <c r="D38" s="22" t="str">
        <f>IF(INDEX(Workers!$E:$E,ROW())="","",INDEX(Workers!$E:$E,ROW()))</f>
        <v/>
      </c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4" t="str">
        <f t="shared" si="0"/>
        <v/>
      </c>
      <c r="AK38" s="24" t="str">
        <f t="shared" si="1"/>
        <v/>
      </c>
      <c r="AL38" s="25" t="str">
        <f>IF(B38="","",AJ38*N(D38)+AK38*N(D38)/Setup!$B$6*Setup!$B$7)</f>
        <v/>
      </c>
      <c r="AM38" s="25" t="str">
        <f>IF(B38="","",SUMIFS(Payments!$D$5:$D$304,Payments!$B$5:$B$304,A38,Payments!$A$5:$A$304,"&gt;="&amp;DATE(Setup!$B$4,2,1),Payments!$A$5:$A$304,"&lt;="&amp;EOMONTH(DATE(Setup!$B$4,2,1),0)))</f>
        <v/>
      </c>
      <c r="AN38" s="25" t="str">
        <f t="shared" si="2"/>
        <v/>
      </c>
    </row>
    <row r="39" spans="1:40" x14ac:dyDescent="0.3">
      <c r="A39" s="14" t="str">
        <f>IF(INDEX(Workers!$B:$B,ROW())="","",INDEX(Workers!$B:$B,ROW()))</f>
        <v/>
      </c>
      <c r="B39" s="21" t="str">
        <f>IF(INDEX(Workers!$C:$C,ROW())="","",INDEX(Workers!$C:$C,ROW()))</f>
        <v/>
      </c>
      <c r="C39" s="21" t="str">
        <f>IF(INDEX(Workers!$D:$D,ROW())="","",INDEX(Workers!$D:$D,ROW()))</f>
        <v/>
      </c>
      <c r="D39" s="22" t="str">
        <f>IF(INDEX(Workers!$E:$E,ROW())="","",INDEX(Workers!$E:$E,ROW()))</f>
        <v/>
      </c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4" t="str">
        <f t="shared" si="0"/>
        <v/>
      </c>
      <c r="AK39" s="24" t="str">
        <f t="shared" si="1"/>
        <v/>
      </c>
      <c r="AL39" s="25" t="str">
        <f>IF(B39="","",AJ39*N(D39)+AK39*N(D39)/Setup!$B$6*Setup!$B$7)</f>
        <v/>
      </c>
      <c r="AM39" s="25" t="str">
        <f>IF(B39="","",SUMIFS(Payments!$D$5:$D$304,Payments!$B$5:$B$304,A39,Payments!$A$5:$A$304,"&gt;="&amp;DATE(Setup!$B$4,2,1),Payments!$A$5:$A$304,"&lt;="&amp;EOMONTH(DATE(Setup!$B$4,2,1),0)))</f>
        <v/>
      </c>
      <c r="AN39" s="25" t="str">
        <f t="shared" si="2"/>
        <v/>
      </c>
    </row>
    <row r="40" spans="1:40" x14ac:dyDescent="0.3">
      <c r="A40" s="14" t="str">
        <f>IF(INDEX(Workers!$B:$B,ROW())="","",INDEX(Workers!$B:$B,ROW()))</f>
        <v/>
      </c>
      <c r="B40" s="21" t="str">
        <f>IF(INDEX(Workers!$C:$C,ROW())="","",INDEX(Workers!$C:$C,ROW()))</f>
        <v/>
      </c>
      <c r="C40" s="21" t="str">
        <f>IF(INDEX(Workers!$D:$D,ROW())="","",INDEX(Workers!$D:$D,ROW()))</f>
        <v/>
      </c>
      <c r="D40" s="22" t="str">
        <f>IF(INDEX(Workers!$E:$E,ROW())="","",INDEX(Workers!$E:$E,ROW()))</f>
        <v/>
      </c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4" t="str">
        <f t="shared" si="0"/>
        <v/>
      </c>
      <c r="AK40" s="24" t="str">
        <f t="shared" si="1"/>
        <v/>
      </c>
      <c r="AL40" s="25" t="str">
        <f>IF(B40="","",AJ40*N(D40)+AK40*N(D40)/Setup!$B$6*Setup!$B$7)</f>
        <v/>
      </c>
      <c r="AM40" s="25" t="str">
        <f>IF(B40="","",SUMIFS(Payments!$D$5:$D$304,Payments!$B$5:$B$304,A40,Payments!$A$5:$A$304,"&gt;="&amp;DATE(Setup!$B$4,2,1),Payments!$A$5:$A$304,"&lt;="&amp;EOMONTH(DATE(Setup!$B$4,2,1),0)))</f>
        <v/>
      </c>
      <c r="AN40" s="25" t="str">
        <f t="shared" si="2"/>
        <v/>
      </c>
    </row>
    <row r="41" spans="1:40" x14ac:dyDescent="0.3">
      <c r="A41" s="14" t="str">
        <f>IF(INDEX(Workers!$B:$B,ROW())="","",INDEX(Workers!$B:$B,ROW()))</f>
        <v/>
      </c>
      <c r="B41" s="21" t="str">
        <f>IF(INDEX(Workers!$C:$C,ROW())="","",INDEX(Workers!$C:$C,ROW()))</f>
        <v/>
      </c>
      <c r="C41" s="21" t="str">
        <f>IF(INDEX(Workers!$D:$D,ROW())="","",INDEX(Workers!$D:$D,ROW()))</f>
        <v/>
      </c>
      <c r="D41" s="22" t="str">
        <f>IF(INDEX(Workers!$E:$E,ROW())="","",INDEX(Workers!$E:$E,ROW()))</f>
        <v/>
      </c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4" t="str">
        <f t="shared" si="0"/>
        <v/>
      </c>
      <c r="AK41" s="24" t="str">
        <f t="shared" si="1"/>
        <v/>
      </c>
      <c r="AL41" s="25" t="str">
        <f>IF(B41="","",AJ41*N(D41)+AK41*N(D41)/Setup!$B$6*Setup!$B$7)</f>
        <v/>
      </c>
      <c r="AM41" s="25" t="str">
        <f>IF(B41="","",SUMIFS(Payments!$D$5:$D$304,Payments!$B$5:$B$304,A41,Payments!$A$5:$A$304,"&gt;="&amp;DATE(Setup!$B$4,2,1),Payments!$A$5:$A$304,"&lt;="&amp;EOMONTH(DATE(Setup!$B$4,2,1),0)))</f>
        <v/>
      </c>
      <c r="AN41" s="25" t="str">
        <f t="shared" si="2"/>
        <v/>
      </c>
    </row>
    <row r="42" spans="1:40" x14ac:dyDescent="0.3">
      <c r="A42" s="14" t="str">
        <f>IF(INDEX(Workers!$B:$B,ROW())="","",INDEX(Workers!$B:$B,ROW()))</f>
        <v/>
      </c>
      <c r="B42" s="21" t="str">
        <f>IF(INDEX(Workers!$C:$C,ROW())="","",INDEX(Workers!$C:$C,ROW()))</f>
        <v/>
      </c>
      <c r="C42" s="21" t="str">
        <f>IF(INDEX(Workers!$D:$D,ROW())="","",INDEX(Workers!$D:$D,ROW()))</f>
        <v/>
      </c>
      <c r="D42" s="22" t="str">
        <f>IF(INDEX(Workers!$E:$E,ROW())="","",INDEX(Workers!$E:$E,ROW()))</f>
        <v/>
      </c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4" t="str">
        <f t="shared" si="0"/>
        <v/>
      </c>
      <c r="AK42" s="24" t="str">
        <f t="shared" si="1"/>
        <v/>
      </c>
      <c r="AL42" s="25" t="str">
        <f>IF(B42="","",AJ42*N(D42)+AK42*N(D42)/Setup!$B$6*Setup!$B$7)</f>
        <v/>
      </c>
      <c r="AM42" s="25" t="str">
        <f>IF(B42="","",SUMIFS(Payments!$D$5:$D$304,Payments!$B$5:$B$304,A42,Payments!$A$5:$A$304,"&gt;="&amp;DATE(Setup!$B$4,2,1),Payments!$A$5:$A$304,"&lt;="&amp;EOMONTH(DATE(Setup!$B$4,2,1),0)))</f>
        <v/>
      </c>
      <c r="AN42" s="25" t="str">
        <f t="shared" si="2"/>
        <v/>
      </c>
    </row>
    <row r="43" spans="1:40" x14ac:dyDescent="0.3">
      <c r="A43" s="14" t="str">
        <f>IF(INDEX(Workers!$B:$B,ROW())="","",INDEX(Workers!$B:$B,ROW()))</f>
        <v/>
      </c>
      <c r="B43" s="21" t="str">
        <f>IF(INDEX(Workers!$C:$C,ROW())="","",INDEX(Workers!$C:$C,ROW()))</f>
        <v/>
      </c>
      <c r="C43" s="21" t="str">
        <f>IF(INDEX(Workers!$D:$D,ROW())="","",INDEX(Workers!$D:$D,ROW()))</f>
        <v/>
      </c>
      <c r="D43" s="22" t="str">
        <f>IF(INDEX(Workers!$E:$E,ROW())="","",INDEX(Workers!$E:$E,ROW()))</f>
        <v/>
      </c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4" t="str">
        <f t="shared" si="0"/>
        <v/>
      </c>
      <c r="AK43" s="24" t="str">
        <f t="shared" si="1"/>
        <v/>
      </c>
      <c r="AL43" s="25" t="str">
        <f>IF(B43="","",AJ43*N(D43)+AK43*N(D43)/Setup!$B$6*Setup!$B$7)</f>
        <v/>
      </c>
      <c r="AM43" s="25" t="str">
        <f>IF(B43="","",SUMIFS(Payments!$D$5:$D$304,Payments!$B$5:$B$304,A43,Payments!$A$5:$A$304,"&gt;="&amp;DATE(Setup!$B$4,2,1),Payments!$A$5:$A$304,"&lt;="&amp;EOMONTH(DATE(Setup!$B$4,2,1),0)))</f>
        <v/>
      </c>
      <c r="AN43" s="25" t="str">
        <f t="shared" si="2"/>
        <v/>
      </c>
    </row>
    <row r="44" spans="1:40" x14ac:dyDescent="0.3">
      <c r="A44" s="14" t="str">
        <f>IF(INDEX(Workers!$B:$B,ROW())="","",INDEX(Workers!$B:$B,ROW()))</f>
        <v/>
      </c>
      <c r="B44" s="21" t="str">
        <f>IF(INDEX(Workers!$C:$C,ROW())="","",INDEX(Workers!$C:$C,ROW()))</f>
        <v/>
      </c>
      <c r="C44" s="21" t="str">
        <f>IF(INDEX(Workers!$D:$D,ROW())="","",INDEX(Workers!$D:$D,ROW()))</f>
        <v/>
      </c>
      <c r="D44" s="22" t="str">
        <f>IF(INDEX(Workers!$E:$E,ROW())="","",INDEX(Workers!$E:$E,ROW()))</f>
        <v/>
      </c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4" t="str">
        <f t="shared" si="0"/>
        <v/>
      </c>
      <c r="AK44" s="24" t="str">
        <f t="shared" si="1"/>
        <v/>
      </c>
      <c r="AL44" s="25" t="str">
        <f>IF(B44="","",AJ44*N(D44)+AK44*N(D44)/Setup!$B$6*Setup!$B$7)</f>
        <v/>
      </c>
      <c r="AM44" s="25" t="str">
        <f>IF(B44="","",SUMIFS(Payments!$D$5:$D$304,Payments!$B$5:$B$304,A44,Payments!$A$5:$A$304,"&gt;="&amp;DATE(Setup!$B$4,2,1),Payments!$A$5:$A$304,"&lt;="&amp;EOMONTH(DATE(Setup!$B$4,2,1),0)))</f>
        <v/>
      </c>
      <c r="AN44" s="25" t="str">
        <f t="shared" si="2"/>
        <v/>
      </c>
    </row>
    <row r="45" spans="1:40" x14ac:dyDescent="0.3">
      <c r="A45" s="26"/>
      <c r="B45" s="26" t="s">
        <v>88</v>
      </c>
      <c r="C45" s="26"/>
      <c r="D45" s="26"/>
      <c r="E45" s="27">
        <f t="shared" ref="E45:AI45" si="3">IF(E$3="","",COUNTIF(E5:E44,"P")+COUNTIF(E5:E44,"H")+COUNT(E5:E44))</f>
        <v>0</v>
      </c>
      <c r="F45" s="27">
        <f t="shared" si="3"/>
        <v>0</v>
      </c>
      <c r="G45" s="27">
        <f t="shared" si="3"/>
        <v>0</v>
      </c>
      <c r="H45" s="27">
        <f t="shared" si="3"/>
        <v>0</v>
      </c>
      <c r="I45" s="27">
        <f t="shared" si="3"/>
        <v>0</v>
      </c>
      <c r="J45" s="27">
        <f t="shared" si="3"/>
        <v>0</v>
      </c>
      <c r="K45" s="27">
        <f t="shared" si="3"/>
        <v>0</v>
      </c>
      <c r="L45" s="27">
        <f t="shared" si="3"/>
        <v>0</v>
      </c>
      <c r="M45" s="27">
        <f t="shared" si="3"/>
        <v>0</v>
      </c>
      <c r="N45" s="27">
        <f t="shared" si="3"/>
        <v>0</v>
      </c>
      <c r="O45" s="27">
        <f t="shared" si="3"/>
        <v>0</v>
      </c>
      <c r="P45" s="27">
        <f t="shared" si="3"/>
        <v>0</v>
      </c>
      <c r="Q45" s="27">
        <f t="shared" si="3"/>
        <v>0</v>
      </c>
      <c r="R45" s="27">
        <f t="shared" si="3"/>
        <v>0</v>
      </c>
      <c r="S45" s="27">
        <f t="shared" si="3"/>
        <v>0</v>
      </c>
      <c r="T45" s="27">
        <f t="shared" si="3"/>
        <v>0</v>
      </c>
      <c r="U45" s="27">
        <f t="shared" si="3"/>
        <v>0</v>
      </c>
      <c r="V45" s="27">
        <f t="shared" si="3"/>
        <v>0</v>
      </c>
      <c r="W45" s="27">
        <f t="shared" si="3"/>
        <v>0</v>
      </c>
      <c r="X45" s="27">
        <f t="shared" si="3"/>
        <v>0</v>
      </c>
      <c r="Y45" s="27">
        <f t="shared" si="3"/>
        <v>0</v>
      </c>
      <c r="Z45" s="27">
        <f t="shared" si="3"/>
        <v>0</v>
      </c>
      <c r="AA45" s="27">
        <f t="shared" si="3"/>
        <v>0</v>
      </c>
      <c r="AB45" s="27">
        <f t="shared" si="3"/>
        <v>0</v>
      </c>
      <c r="AC45" s="27">
        <f t="shared" si="3"/>
        <v>0</v>
      </c>
      <c r="AD45" s="27">
        <f t="shared" si="3"/>
        <v>0</v>
      </c>
      <c r="AE45" s="27">
        <f t="shared" si="3"/>
        <v>0</v>
      </c>
      <c r="AF45" s="27">
        <f t="shared" si="3"/>
        <v>0</v>
      </c>
      <c r="AG45" s="27" t="str">
        <f t="shared" si="3"/>
        <v/>
      </c>
      <c r="AH45" s="27" t="str">
        <f t="shared" si="3"/>
        <v/>
      </c>
      <c r="AI45" s="27" t="str">
        <f t="shared" si="3"/>
        <v/>
      </c>
      <c r="AJ45" s="28">
        <f>SUM(AJ5:AJ44)</f>
        <v>0</v>
      </c>
      <c r="AK45" s="28">
        <f>SUM(AK5:AK44)</f>
        <v>0</v>
      </c>
      <c r="AL45" s="29">
        <f>SUM(AL5:AL44)</f>
        <v>0</v>
      </c>
      <c r="AM45" s="29">
        <f>SUM(AM5:AM44)</f>
        <v>0</v>
      </c>
      <c r="AN45" s="29">
        <f>SUM(AN5:AN44)</f>
        <v>0</v>
      </c>
    </row>
  </sheetData>
  <conditionalFormatting sqref="E3:AI3">
    <cfRule type="expression" dxfId="76" priority="2">
      <formula>E$3="Sun"</formula>
    </cfRule>
  </conditionalFormatting>
  <conditionalFormatting sqref="E3:AI45">
    <cfRule type="expression" dxfId="75" priority="1">
      <formula>E$3=""</formula>
    </cfRule>
  </conditionalFormatting>
  <conditionalFormatting sqref="E5:AI44">
    <cfRule type="expression" dxfId="74" priority="6">
      <formula>E5="A"</formula>
    </cfRule>
    <cfRule type="expression" dxfId="73" priority="7">
      <formula>E5="H"</formula>
    </cfRule>
    <cfRule type="expression" dxfId="72" priority="8">
      <formula>ISNUMBER(E5)</formula>
    </cfRule>
  </conditionalFormatting>
  <conditionalFormatting sqref="E5:AI45">
    <cfRule type="expression" dxfId="71" priority="4">
      <formula>E$3="Sun"</formula>
    </cfRule>
  </conditionalFormatting>
  <conditionalFormatting sqref="AN5:AN44">
    <cfRule type="expression" dxfId="70" priority="9">
      <formula>AN5&lt;0</formula>
    </cfRule>
  </conditionalFormatting>
  <dataValidations count="1">
    <dataValidation type="custom" allowBlank="1" showErrorMessage="1" errorTitle="Attendance code" error="Type P, H, A, L, or the number of overtime hours (0 to 12). Shaded days do not exist in this month." sqref="E5:AI44" xr:uid="{00000000-0002-0000-0400-000000000000}">
      <formula1>AND(E$3&lt;&gt;"",OR(E5="P",E5="H",E5="A",E5="L",AND(ISNUMBER(E5),E5&gt;=0,E5&lt;=12)))</formula1>
    </dataValidation>
  </dataValidations>
  <printOptions horizontalCentered="1"/>
  <pageMargins left="0.45" right="0.45" top="0.6" bottom="0.6" header="0.3" footer="0.3"/>
  <pageSetup paperSize="9" scale="66" orientation="landscape" r:id="rId1"/>
  <headerFooter>
    <oddFooter>&amp;L&amp;8Free from NirmanDost - nirmandost.in - sign up for more free tools&amp;R&amp;8Page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N45"/>
  <sheetViews>
    <sheetView showGridLines="0" workbookViewId="0">
      <pane xSplit="4" ySplit="4" topLeftCell="E5" activePane="bottomRight" state="frozen"/>
      <selection pane="topRight"/>
      <selection pane="bottomLeft"/>
      <selection pane="bottomRight"/>
    </sheetView>
  </sheetViews>
  <sheetFormatPr defaultRowHeight="14.4" x14ac:dyDescent="0.3"/>
  <cols>
    <col min="1" max="1" width="7" customWidth="1"/>
    <col min="2" max="2" width="24" customWidth="1"/>
    <col min="3" max="3" width="11" customWidth="1"/>
    <col min="4" max="4" width="9" customWidth="1"/>
    <col min="5" max="35" width="3.5546875" customWidth="1"/>
    <col min="36" max="37" width="6.44140625" customWidth="1"/>
    <col min="38" max="38" width="12" customWidth="1"/>
    <col min="39" max="40" width="11" customWidth="1"/>
  </cols>
  <sheetData>
    <row r="1" spans="1:40" ht="17.399999999999999" x14ac:dyDescent="0.3">
      <c r="A1" s="18" t="str">
        <f>"Attendance - "&amp;TEXT(DATE(Setup!$B$4,3,1),"mmmm yyyy")&amp;"   "&amp;Setup!$B$5</f>
        <v>Attendance - March 2026   Type the site name</v>
      </c>
    </row>
    <row r="2" spans="1:40" x14ac:dyDescent="0.3">
      <c r="A2" s="19" t="s">
        <v>49</v>
      </c>
    </row>
    <row r="3" spans="1:40" x14ac:dyDescent="0.3">
      <c r="E3" s="20" t="str">
        <f>IF(1&gt;DAY(EOMONTH(DATE(Setup!$B$4,3,1),0)),"",TEXT(DATE(Setup!$B$4,3,1),"ddd"))</f>
        <v>Sun</v>
      </c>
      <c r="F3" s="20" t="str">
        <f>IF(2&gt;DAY(EOMONTH(DATE(Setup!$B$4,3,1),0)),"",TEXT(DATE(Setup!$B$4,3,2),"ddd"))</f>
        <v>Mon</v>
      </c>
      <c r="G3" s="20" t="str">
        <f>IF(3&gt;DAY(EOMONTH(DATE(Setup!$B$4,3,1),0)),"",TEXT(DATE(Setup!$B$4,3,3),"ddd"))</f>
        <v>Tue</v>
      </c>
      <c r="H3" s="20" t="str">
        <f>IF(4&gt;DAY(EOMONTH(DATE(Setup!$B$4,3,1),0)),"",TEXT(DATE(Setup!$B$4,3,4),"ddd"))</f>
        <v>Wed</v>
      </c>
      <c r="I3" s="20" t="str">
        <f>IF(5&gt;DAY(EOMONTH(DATE(Setup!$B$4,3,1),0)),"",TEXT(DATE(Setup!$B$4,3,5),"ddd"))</f>
        <v>Thu</v>
      </c>
      <c r="J3" s="20" t="str">
        <f>IF(6&gt;DAY(EOMONTH(DATE(Setup!$B$4,3,1),0)),"",TEXT(DATE(Setup!$B$4,3,6),"ddd"))</f>
        <v>Fri</v>
      </c>
      <c r="K3" s="20" t="str">
        <f>IF(7&gt;DAY(EOMONTH(DATE(Setup!$B$4,3,1),0)),"",TEXT(DATE(Setup!$B$4,3,7),"ddd"))</f>
        <v>Sat</v>
      </c>
      <c r="L3" s="20" t="str">
        <f>IF(8&gt;DAY(EOMONTH(DATE(Setup!$B$4,3,1),0)),"",TEXT(DATE(Setup!$B$4,3,8),"ddd"))</f>
        <v>Sun</v>
      </c>
      <c r="M3" s="20" t="str">
        <f>IF(9&gt;DAY(EOMONTH(DATE(Setup!$B$4,3,1),0)),"",TEXT(DATE(Setup!$B$4,3,9),"ddd"))</f>
        <v>Mon</v>
      </c>
      <c r="N3" s="20" t="str">
        <f>IF(10&gt;DAY(EOMONTH(DATE(Setup!$B$4,3,1),0)),"",TEXT(DATE(Setup!$B$4,3,10),"ddd"))</f>
        <v>Tue</v>
      </c>
      <c r="O3" s="20" t="str">
        <f>IF(11&gt;DAY(EOMONTH(DATE(Setup!$B$4,3,1),0)),"",TEXT(DATE(Setup!$B$4,3,11),"ddd"))</f>
        <v>Wed</v>
      </c>
      <c r="P3" s="20" t="str">
        <f>IF(12&gt;DAY(EOMONTH(DATE(Setup!$B$4,3,1),0)),"",TEXT(DATE(Setup!$B$4,3,12),"ddd"))</f>
        <v>Thu</v>
      </c>
      <c r="Q3" s="20" t="str">
        <f>IF(13&gt;DAY(EOMONTH(DATE(Setup!$B$4,3,1),0)),"",TEXT(DATE(Setup!$B$4,3,13),"ddd"))</f>
        <v>Fri</v>
      </c>
      <c r="R3" s="20" t="str">
        <f>IF(14&gt;DAY(EOMONTH(DATE(Setup!$B$4,3,1),0)),"",TEXT(DATE(Setup!$B$4,3,14),"ddd"))</f>
        <v>Sat</v>
      </c>
      <c r="S3" s="20" t="str">
        <f>IF(15&gt;DAY(EOMONTH(DATE(Setup!$B$4,3,1),0)),"",TEXT(DATE(Setup!$B$4,3,15),"ddd"))</f>
        <v>Sun</v>
      </c>
      <c r="T3" s="20" t="str">
        <f>IF(16&gt;DAY(EOMONTH(DATE(Setup!$B$4,3,1),0)),"",TEXT(DATE(Setup!$B$4,3,16),"ddd"))</f>
        <v>Mon</v>
      </c>
      <c r="U3" s="20" t="str">
        <f>IF(17&gt;DAY(EOMONTH(DATE(Setup!$B$4,3,1),0)),"",TEXT(DATE(Setup!$B$4,3,17),"ddd"))</f>
        <v>Tue</v>
      </c>
      <c r="V3" s="20" t="str">
        <f>IF(18&gt;DAY(EOMONTH(DATE(Setup!$B$4,3,1),0)),"",TEXT(DATE(Setup!$B$4,3,18),"ddd"))</f>
        <v>Wed</v>
      </c>
      <c r="W3" s="20" t="str">
        <f>IF(19&gt;DAY(EOMONTH(DATE(Setup!$B$4,3,1),0)),"",TEXT(DATE(Setup!$B$4,3,19),"ddd"))</f>
        <v>Thu</v>
      </c>
      <c r="X3" s="20" t="str">
        <f>IF(20&gt;DAY(EOMONTH(DATE(Setup!$B$4,3,1),0)),"",TEXT(DATE(Setup!$B$4,3,20),"ddd"))</f>
        <v>Fri</v>
      </c>
      <c r="Y3" s="20" t="str">
        <f>IF(21&gt;DAY(EOMONTH(DATE(Setup!$B$4,3,1),0)),"",TEXT(DATE(Setup!$B$4,3,21),"ddd"))</f>
        <v>Sat</v>
      </c>
      <c r="Z3" s="20" t="str">
        <f>IF(22&gt;DAY(EOMONTH(DATE(Setup!$B$4,3,1),0)),"",TEXT(DATE(Setup!$B$4,3,22),"ddd"))</f>
        <v>Sun</v>
      </c>
      <c r="AA3" s="20" t="str">
        <f>IF(23&gt;DAY(EOMONTH(DATE(Setup!$B$4,3,1),0)),"",TEXT(DATE(Setup!$B$4,3,23),"ddd"))</f>
        <v>Mon</v>
      </c>
      <c r="AB3" s="20" t="str">
        <f>IF(24&gt;DAY(EOMONTH(DATE(Setup!$B$4,3,1),0)),"",TEXT(DATE(Setup!$B$4,3,24),"ddd"))</f>
        <v>Tue</v>
      </c>
      <c r="AC3" s="20" t="str">
        <f>IF(25&gt;DAY(EOMONTH(DATE(Setup!$B$4,3,1),0)),"",TEXT(DATE(Setup!$B$4,3,25),"ddd"))</f>
        <v>Wed</v>
      </c>
      <c r="AD3" s="20" t="str">
        <f>IF(26&gt;DAY(EOMONTH(DATE(Setup!$B$4,3,1),0)),"",TEXT(DATE(Setup!$B$4,3,26),"ddd"))</f>
        <v>Thu</v>
      </c>
      <c r="AE3" s="20" t="str">
        <f>IF(27&gt;DAY(EOMONTH(DATE(Setup!$B$4,3,1),0)),"",TEXT(DATE(Setup!$B$4,3,27),"ddd"))</f>
        <v>Fri</v>
      </c>
      <c r="AF3" s="20" t="str">
        <f>IF(28&gt;DAY(EOMONTH(DATE(Setup!$B$4,3,1),0)),"",TEXT(DATE(Setup!$B$4,3,28),"ddd"))</f>
        <v>Sat</v>
      </c>
      <c r="AG3" s="20" t="str">
        <f>IF(29&gt;DAY(EOMONTH(DATE(Setup!$B$4,3,1),0)),"",TEXT(DATE(Setup!$B$4,3,29),"ddd"))</f>
        <v>Sun</v>
      </c>
      <c r="AH3" s="20" t="str">
        <f>IF(30&gt;DAY(EOMONTH(DATE(Setup!$B$4,3,1),0)),"",TEXT(DATE(Setup!$B$4,3,30),"ddd"))</f>
        <v>Mon</v>
      </c>
      <c r="AI3" s="20" t="str">
        <f>IF(31&gt;DAY(EOMONTH(DATE(Setup!$B$4,3,1),0)),"",TEXT(DATE(Setup!$B$4,3,31),"ddd"))</f>
        <v>Tue</v>
      </c>
    </row>
    <row r="4" spans="1:40" ht="28.05" customHeight="1" x14ac:dyDescent="0.3">
      <c r="A4" s="13" t="s">
        <v>50</v>
      </c>
      <c r="B4" s="13" t="s">
        <v>37</v>
      </c>
      <c r="C4" s="13" t="s">
        <v>38</v>
      </c>
      <c r="D4" s="13" t="s">
        <v>51</v>
      </c>
      <c r="E4" s="13" t="s">
        <v>52</v>
      </c>
      <c r="F4" s="13" t="s">
        <v>53</v>
      </c>
      <c r="G4" s="13" t="s">
        <v>54</v>
      </c>
      <c r="H4" s="13" t="s">
        <v>55</v>
      </c>
      <c r="I4" s="13" t="s">
        <v>56</v>
      </c>
      <c r="J4" s="13" t="s">
        <v>57</v>
      </c>
      <c r="K4" s="13" t="s">
        <v>58</v>
      </c>
      <c r="L4" s="13" t="s">
        <v>59</v>
      </c>
      <c r="M4" s="13" t="s">
        <v>60</v>
      </c>
      <c r="N4" s="13" t="s">
        <v>61</v>
      </c>
      <c r="O4" s="13" t="s">
        <v>62</v>
      </c>
      <c r="P4" s="13" t="s">
        <v>63</v>
      </c>
      <c r="Q4" s="13" t="s">
        <v>64</v>
      </c>
      <c r="R4" s="13" t="s">
        <v>65</v>
      </c>
      <c r="S4" s="13" t="s">
        <v>66</v>
      </c>
      <c r="T4" s="13" t="s">
        <v>67</v>
      </c>
      <c r="U4" s="13" t="s">
        <v>68</v>
      </c>
      <c r="V4" s="13" t="s">
        <v>69</v>
      </c>
      <c r="W4" s="13" t="s">
        <v>70</v>
      </c>
      <c r="X4" s="13" t="s">
        <v>71</v>
      </c>
      <c r="Y4" s="13" t="s">
        <v>72</v>
      </c>
      <c r="Z4" s="13" t="s">
        <v>73</v>
      </c>
      <c r="AA4" s="13" t="s">
        <v>74</v>
      </c>
      <c r="AB4" s="13" t="s">
        <v>75</v>
      </c>
      <c r="AC4" s="13" t="s">
        <v>76</v>
      </c>
      <c r="AD4" s="13" t="s">
        <v>77</v>
      </c>
      <c r="AE4" s="13" t="s">
        <v>78</v>
      </c>
      <c r="AF4" s="13" t="s">
        <v>79</v>
      </c>
      <c r="AG4" s="13" t="s">
        <v>80</v>
      </c>
      <c r="AH4" s="13" t="s">
        <v>81</v>
      </c>
      <c r="AI4" s="13" t="s">
        <v>82</v>
      </c>
      <c r="AJ4" s="13" t="s">
        <v>83</v>
      </c>
      <c r="AK4" s="13" t="s">
        <v>84</v>
      </c>
      <c r="AL4" s="13" t="s">
        <v>85</v>
      </c>
      <c r="AM4" s="13" t="s">
        <v>86</v>
      </c>
      <c r="AN4" s="13" t="s">
        <v>87</v>
      </c>
    </row>
    <row r="5" spans="1:40" x14ac:dyDescent="0.3">
      <c r="A5" s="14" t="str">
        <f>IF(INDEX(Workers!$B:$B,ROW())="","",INDEX(Workers!$B:$B,ROW()))</f>
        <v>W-01</v>
      </c>
      <c r="B5" s="21" t="str">
        <f>IF(INDEX(Workers!$C:$C,ROW())="","",INDEX(Workers!$C:$C,ROW()))</f>
        <v>Ramesh (EXAMPLE, clear me)</v>
      </c>
      <c r="C5" s="21" t="str">
        <f>IF(INDEX(Workers!$D:$D,ROW())="","",INDEX(Workers!$D:$D,ROW()))</f>
        <v>Mason</v>
      </c>
      <c r="D5" s="22">
        <f>IF(INDEX(Workers!$E:$E,ROW())="","",INDEX(Workers!$E:$E,ROW()))</f>
        <v>900</v>
      </c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4">
        <f t="shared" ref="AJ5:AJ44" si="0">IF(B5="","",SUMPRODUCT((E$3:AI$3&lt;&gt;"")*(E5:AI5="P"))+0.5*SUMPRODUCT((E$3:AI$3&lt;&gt;"")*(E5:AI5="H"))+SUMPRODUCT((E$3:AI$3&lt;&gt;"")*ISNUMBER(E5:AI5)))</f>
        <v>0</v>
      </c>
      <c r="AK5" s="24">
        <f t="shared" ref="AK5:AK44" si="1">IF(B5="","",SUMPRODUCT((E$3:AI$3&lt;&gt;"")*ISNUMBER(E5:AI5),E5:AI5))</f>
        <v>0</v>
      </c>
      <c r="AL5" s="25">
        <f>IF(B5="","",AJ5*N(D5)+AK5*N(D5)/Setup!$B$6*Setup!$B$7)</f>
        <v>0</v>
      </c>
      <c r="AM5" s="25">
        <f>IF(B5="","",SUMIFS(Payments!$D$5:$D$304,Payments!$B$5:$B$304,A5,Payments!$A$5:$A$304,"&gt;="&amp;DATE(Setup!$B$4,3,1),Payments!$A$5:$A$304,"&lt;="&amp;EOMONTH(DATE(Setup!$B$4,3,1),0)))</f>
        <v>0</v>
      </c>
      <c r="AN5" s="25">
        <f t="shared" ref="AN5:AN44" si="2">IF(B5="","",AL5-AM5)</f>
        <v>0</v>
      </c>
    </row>
    <row r="6" spans="1:40" x14ac:dyDescent="0.3">
      <c r="A6" s="14" t="str">
        <f>IF(INDEX(Workers!$B:$B,ROW())="","",INDEX(Workers!$B:$B,ROW()))</f>
        <v/>
      </c>
      <c r="B6" s="21" t="str">
        <f>IF(INDEX(Workers!$C:$C,ROW())="","",INDEX(Workers!$C:$C,ROW()))</f>
        <v/>
      </c>
      <c r="C6" s="21" t="str">
        <f>IF(INDEX(Workers!$D:$D,ROW())="","",INDEX(Workers!$D:$D,ROW()))</f>
        <v/>
      </c>
      <c r="D6" s="22" t="str">
        <f>IF(INDEX(Workers!$E:$E,ROW())="","",INDEX(Workers!$E:$E,ROW()))</f>
        <v/>
      </c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4" t="str">
        <f t="shared" si="0"/>
        <v/>
      </c>
      <c r="AK6" s="24" t="str">
        <f t="shared" si="1"/>
        <v/>
      </c>
      <c r="AL6" s="25" t="str">
        <f>IF(B6="","",AJ6*N(D6)+AK6*N(D6)/Setup!$B$6*Setup!$B$7)</f>
        <v/>
      </c>
      <c r="AM6" s="25" t="str">
        <f>IF(B6="","",SUMIFS(Payments!$D$5:$D$304,Payments!$B$5:$B$304,A6,Payments!$A$5:$A$304,"&gt;="&amp;DATE(Setup!$B$4,3,1),Payments!$A$5:$A$304,"&lt;="&amp;EOMONTH(DATE(Setup!$B$4,3,1),0)))</f>
        <v/>
      </c>
      <c r="AN6" s="25" t="str">
        <f t="shared" si="2"/>
        <v/>
      </c>
    </row>
    <row r="7" spans="1:40" x14ac:dyDescent="0.3">
      <c r="A7" s="14" t="str">
        <f>IF(INDEX(Workers!$B:$B,ROW())="","",INDEX(Workers!$B:$B,ROW()))</f>
        <v/>
      </c>
      <c r="B7" s="21" t="str">
        <f>IF(INDEX(Workers!$C:$C,ROW())="","",INDEX(Workers!$C:$C,ROW()))</f>
        <v/>
      </c>
      <c r="C7" s="21" t="str">
        <f>IF(INDEX(Workers!$D:$D,ROW())="","",INDEX(Workers!$D:$D,ROW()))</f>
        <v/>
      </c>
      <c r="D7" s="22" t="str">
        <f>IF(INDEX(Workers!$E:$E,ROW())="","",INDEX(Workers!$E:$E,ROW()))</f>
        <v/>
      </c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4" t="str">
        <f t="shared" si="0"/>
        <v/>
      </c>
      <c r="AK7" s="24" t="str">
        <f t="shared" si="1"/>
        <v/>
      </c>
      <c r="AL7" s="25" t="str">
        <f>IF(B7="","",AJ7*N(D7)+AK7*N(D7)/Setup!$B$6*Setup!$B$7)</f>
        <v/>
      </c>
      <c r="AM7" s="25" t="str">
        <f>IF(B7="","",SUMIFS(Payments!$D$5:$D$304,Payments!$B$5:$B$304,A7,Payments!$A$5:$A$304,"&gt;="&amp;DATE(Setup!$B$4,3,1),Payments!$A$5:$A$304,"&lt;="&amp;EOMONTH(DATE(Setup!$B$4,3,1),0)))</f>
        <v/>
      </c>
      <c r="AN7" s="25" t="str">
        <f t="shared" si="2"/>
        <v/>
      </c>
    </row>
    <row r="8" spans="1:40" x14ac:dyDescent="0.3">
      <c r="A8" s="14" t="str">
        <f>IF(INDEX(Workers!$B:$B,ROW())="","",INDEX(Workers!$B:$B,ROW()))</f>
        <v/>
      </c>
      <c r="B8" s="21" t="str">
        <f>IF(INDEX(Workers!$C:$C,ROW())="","",INDEX(Workers!$C:$C,ROW()))</f>
        <v/>
      </c>
      <c r="C8" s="21" t="str">
        <f>IF(INDEX(Workers!$D:$D,ROW())="","",INDEX(Workers!$D:$D,ROW()))</f>
        <v/>
      </c>
      <c r="D8" s="22" t="str">
        <f>IF(INDEX(Workers!$E:$E,ROW())="","",INDEX(Workers!$E:$E,ROW()))</f>
        <v/>
      </c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4" t="str">
        <f t="shared" si="0"/>
        <v/>
      </c>
      <c r="AK8" s="24" t="str">
        <f t="shared" si="1"/>
        <v/>
      </c>
      <c r="AL8" s="25" t="str">
        <f>IF(B8="","",AJ8*N(D8)+AK8*N(D8)/Setup!$B$6*Setup!$B$7)</f>
        <v/>
      </c>
      <c r="AM8" s="25" t="str">
        <f>IF(B8="","",SUMIFS(Payments!$D$5:$D$304,Payments!$B$5:$B$304,A8,Payments!$A$5:$A$304,"&gt;="&amp;DATE(Setup!$B$4,3,1),Payments!$A$5:$A$304,"&lt;="&amp;EOMONTH(DATE(Setup!$B$4,3,1),0)))</f>
        <v/>
      </c>
      <c r="AN8" s="25" t="str">
        <f t="shared" si="2"/>
        <v/>
      </c>
    </row>
    <row r="9" spans="1:40" x14ac:dyDescent="0.3">
      <c r="A9" s="14" t="str">
        <f>IF(INDEX(Workers!$B:$B,ROW())="","",INDEX(Workers!$B:$B,ROW()))</f>
        <v/>
      </c>
      <c r="B9" s="21" t="str">
        <f>IF(INDEX(Workers!$C:$C,ROW())="","",INDEX(Workers!$C:$C,ROW()))</f>
        <v/>
      </c>
      <c r="C9" s="21" t="str">
        <f>IF(INDEX(Workers!$D:$D,ROW())="","",INDEX(Workers!$D:$D,ROW()))</f>
        <v/>
      </c>
      <c r="D9" s="22" t="str">
        <f>IF(INDEX(Workers!$E:$E,ROW())="","",INDEX(Workers!$E:$E,ROW()))</f>
        <v/>
      </c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4" t="str">
        <f t="shared" si="0"/>
        <v/>
      </c>
      <c r="AK9" s="24" t="str">
        <f t="shared" si="1"/>
        <v/>
      </c>
      <c r="AL9" s="25" t="str">
        <f>IF(B9="","",AJ9*N(D9)+AK9*N(D9)/Setup!$B$6*Setup!$B$7)</f>
        <v/>
      </c>
      <c r="AM9" s="25" t="str">
        <f>IF(B9="","",SUMIFS(Payments!$D$5:$D$304,Payments!$B$5:$B$304,A9,Payments!$A$5:$A$304,"&gt;="&amp;DATE(Setup!$B$4,3,1),Payments!$A$5:$A$304,"&lt;="&amp;EOMONTH(DATE(Setup!$B$4,3,1),0)))</f>
        <v/>
      </c>
      <c r="AN9" s="25" t="str">
        <f t="shared" si="2"/>
        <v/>
      </c>
    </row>
    <row r="10" spans="1:40" x14ac:dyDescent="0.3">
      <c r="A10" s="14" t="str">
        <f>IF(INDEX(Workers!$B:$B,ROW())="","",INDEX(Workers!$B:$B,ROW()))</f>
        <v/>
      </c>
      <c r="B10" s="21" t="str">
        <f>IF(INDEX(Workers!$C:$C,ROW())="","",INDEX(Workers!$C:$C,ROW()))</f>
        <v/>
      </c>
      <c r="C10" s="21" t="str">
        <f>IF(INDEX(Workers!$D:$D,ROW())="","",INDEX(Workers!$D:$D,ROW()))</f>
        <v/>
      </c>
      <c r="D10" s="22" t="str">
        <f>IF(INDEX(Workers!$E:$E,ROW())="","",INDEX(Workers!$E:$E,ROW()))</f>
        <v/>
      </c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4" t="str">
        <f t="shared" si="0"/>
        <v/>
      </c>
      <c r="AK10" s="24" t="str">
        <f t="shared" si="1"/>
        <v/>
      </c>
      <c r="AL10" s="25" t="str">
        <f>IF(B10="","",AJ10*N(D10)+AK10*N(D10)/Setup!$B$6*Setup!$B$7)</f>
        <v/>
      </c>
      <c r="AM10" s="25" t="str">
        <f>IF(B10="","",SUMIFS(Payments!$D$5:$D$304,Payments!$B$5:$B$304,A10,Payments!$A$5:$A$304,"&gt;="&amp;DATE(Setup!$B$4,3,1),Payments!$A$5:$A$304,"&lt;="&amp;EOMONTH(DATE(Setup!$B$4,3,1),0)))</f>
        <v/>
      </c>
      <c r="AN10" s="25" t="str">
        <f t="shared" si="2"/>
        <v/>
      </c>
    </row>
    <row r="11" spans="1:40" x14ac:dyDescent="0.3">
      <c r="A11" s="14" t="str">
        <f>IF(INDEX(Workers!$B:$B,ROW())="","",INDEX(Workers!$B:$B,ROW()))</f>
        <v/>
      </c>
      <c r="B11" s="21" t="str">
        <f>IF(INDEX(Workers!$C:$C,ROW())="","",INDEX(Workers!$C:$C,ROW()))</f>
        <v/>
      </c>
      <c r="C11" s="21" t="str">
        <f>IF(INDEX(Workers!$D:$D,ROW())="","",INDEX(Workers!$D:$D,ROW()))</f>
        <v/>
      </c>
      <c r="D11" s="22" t="str">
        <f>IF(INDEX(Workers!$E:$E,ROW())="","",INDEX(Workers!$E:$E,ROW()))</f>
        <v/>
      </c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4" t="str">
        <f t="shared" si="0"/>
        <v/>
      </c>
      <c r="AK11" s="24" t="str">
        <f t="shared" si="1"/>
        <v/>
      </c>
      <c r="AL11" s="25" t="str">
        <f>IF(B11="","",AJ11*N(D11)+AK11*N(D11)/Setup!$B$6*Setup!$B$7)</f>
        <v/>
      </c>
      <c r="AM11" s="25" t="str">
        <f>IF(B11="","",SUMIFS(Payments!$D$5:$D$304,Payments!$B$5:$B$304,A11,Payments!$A$5:$A$304,"&gt;="&amp;DATE(Setup!$B$4,3,1),Payments!$A$5:$A$304,"&lt;="&amp;EOMONTH(DATE(Setup!$B$4,3,1),0)))</f>
        <v/>
      </c>
      <c r="AN11" s="25" t="str">
        <f t="shared" si="2"/>
        <v/>
      </c>
    </row>
    <row r="12" spans="1:40" x14ac:dyDescent="0.3">
      <c r="A12" s="14" t="str">
        <f>IF(INDEX(Workers!$B:$B,ROW())="","",INDEX(Workers!$B:$B,ROW()))</f>
        <v/>
      </c>
      <c r="B12" s="21" t="str">
        <f>IF(INDEX(Workers!$C:$C,ROW())="","",INDEX(Workers!$C:$C,ROW()))</f>
        <v/>
      </c>
      <c r="C12" s="21" t="str">
        <f>IF(INDEX(Workers!$D:$D,ROW())="","",INDEX(Workers!$D:$D,ROW()))</f>
        <v/>
      </c>
      <c r="D12" s="22" t="str">
        <f>IF(INDEX(Workers!$E:$E,ROW())="","",INDEX(Workers!$E:$E,ROW()))</f>
        <v/>
      </c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4" t="str">
        <f t="shared" si="0"/>
        <v/>
      </c>
      <c r="AK12" s="24" t="str">
        <f t="shared" si="1"/>
        <v/>
      </c>
      <c r="AL12" s="25" t="str">
        <f>IF(B12="","",AJ12*N(D12)+AK12*N(D12)/Setup!$B$6*Setup!$B$7)</f>
        <v/>
      </c>
      <c r="AM12" s="25" t="str">
        <f>IF(B12="","",SUMIFS(Payments!$D$5:$D$304,Payments!$B$5:$B$304,A12,Payments!$A$5:$A$304,"&gt;="&amp;DATE(Setup!$B$4,3,1),Payments!$A$5:$A$304,"&lt;="&amp;EOMONTH(DATE(Setup!$B$4,3,1),0)))</f>
        <v/>
      </c>
      <c r="AN12" s="25" t="str">
        <f t="shared" si="2"/>
        <v/>
      </c>
    </row>
    <row r="13" spans="1:40" x14ac:dyDescent="0.3">
      <c r="A13" s="14" t="str">
        <f>IF(INDEX(Workers!$B:$B,ROW())="","",INDEX(Workers!$B:$B,ROW()))</f>
        <v/>
      </c>
      <c r="B13" s="21" t="str">
        <f>IF(INDEX(Workers!$C:$C,ROW())="","",INDEX(Workers!$C:$C,ROW()))</f>
        <v/>
      </c>
      <c r="C13" s="21" t="str">
        <f>IF(INDEX(Workers!$D:$D,ROW())="","",INDEX(Workers!$D:$D,ROW()))</f>
        <v/>
      </c>
      <c r="D13" s="22" t="str">
        <f>IF(INDEX(Workers!$E:$E,ROW())="","",INDEX(Workers!$E:$E,ROW()))</f>
        <v/>
      </c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4" t="str">
        <f t="shared" si="0"/>
        <v/>
      </c>
      <c r="AK13" s="24" t="str">
        <f t="shared" si="1"/>
        <v/>
      </c>
      <c r="AL13" s="25" t="str">
        <f>IF(B13="","",AJ13*N(D13)+AK13*N(D13)/Setup!$B$6*Setup!$B$7)</f>
        <v/>
      </c>
      <c r="AM13" s="25" t="str">
        <f>IF(B13="","",SUMIFS(Payments!$D$5:$D$304,Payments!$B$5:$B$304,A13,Payments!$A$5:$A$304,"&gt;="&amp;DATE(Setup!$B$4,3,1),Payments!$A$5:$A$304,"&lt;="&amp;EOMONTH(DATE(Setup!$B$4,3,1),0)))</f>
        <v/>
      </c>
      <c r="AN13" s="25" t="str">
        <f t="shared" si="2"/>
        <v/>
      </c>
    </row>
    <row r="14" spans="1:40" x14ac:dyDescent="0.3">
      <c r="A14" s="14" t="str">
        <f>IF(INDEX(Workers!$B:$B,ROW())="","",INDEX(Workers!$B:$B,ROW()))</f>
        <v/>
      </c>
      <c r="B14" s="21" t="str">
        <f>IF(INDEX(Workers!$C:$C,ROW())="","",INDEX(Workers!$C:$C,ROW()))</f>
        <v/>
      </c>
      <c r="C14" s="21" t="str">
        <f>IF(INDEX(Workers!$D:$D,ROW())="","",INDEX(Workers!$D:$D,ROW()))</f>
        <v/>
      </c>
      <c r="D14" s="22" t="str">
        <f>IF(INDEX(Workers!$E:$E,ROW())="","",INDEX(Workers!$E:$E,ROW()))</f>
        <v/>
      </c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4" t="str">
        <f t="shared" si="0"/>
        <v/>
      </c>
      <c r="AK14" s="24" t="str">
        <f t="shared" si="1"/>
        <v/>
      </c>
      <c r="AL14" s="25" t="str">
        <f>IF(B14="","",AJ14*N(D14)+AK14*N(D14)/Setup!$B$6*Setup!$B$7)</f>
        <v/>
      </c>
      <c r="AM14" s="25" t="str">
        <f>IF(B14="","",SUMIFS(Payments!$D$5:$D$304,Payments!$B$5:$B$304,A14,Payments!$A$5:$A$304,"&gt;="&amp;DATE(Setup!$B$4,3,1),Payments!$A$5:$A$304,"&lt;="&amp;EOMONTH(DATE(Setup!$B$4,3,1),0)))</f>
        <v/>
      </c>
      <c r="AN14" s="25" t="str">
        <f t="shared" si="2"/>
        <v/>
      </c>
    </row>
    <row r="15" spans="1:40" x14ac:dyDescent="0.3">
      <c r="A15" s="14" t="str">
        <f>IF(INDEX(Workers!$B:$B,ROW())="","",INDEX(Workers!$B:$B,ROW()))</f>
        <v/>
      </c>
      <c r="B15" s="21" t="str">
        <f>IF(INDEX(Workers!$C:$C,ROW())="","",INDEX(Workers!$C:$C,ROW()))</f>
        <v/>
      </c>
      <c r="C15" s="21" t="str">
        <f>IF(INDEX(Workers!$D:$D,ROW())="","",INDEX(Workers!$D:$D,ROW()))</f>
        <v/>
      </c>
      <c r="D15" s="22" t="str">
        <f>IF(INDEX(Workers!$E:$E,ROW())="","",INDEX(Workers!$E:$E,ROW()))</f>
        <v/>
      </c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4" t="str">
        <f t="shared" si="0"/>
        <v/>
      </c>
      <c r="AK15" s="24" t="str">
        <f t="shared" si="1"/>
        <v/>
      </c>
      <c r="AL15" s="25" t="str">
        <f>IF(B15="","",AJ15*N(D15)+AK15*N(D15)/Setup!$B$6*Setup!$B$7)</f>
        <v/>
      </c>
      <c r="AM15" s="25" t="str">
        <f>IF(B15="","",SUMIFS(Payments!$D$5:$D$304,Payments!$B$5:$B$304,A15,Payments!$A$5:$A$304,"&gt;="&amp;DATE(Setup!$B$4,3,1),Payments!$A$5:$A$304,"&lt;="&amp;EOMONTH(DATE(Setup!$B$4,3,1),0)))</f>
        <v/>
      </c>
      <c r="AN15" s="25" t="str">
        <f t="shared" si="2"/>
        <v/>
      </c>
    </row>
    <row r="16" spans="1:40" x14ac:dyDescent="0.3">
      <c r="A16" s="14" t="str">
        <f>IF(INDEX(Workers!$B:$B,ROW())="","",INDEX(Workers!$B:$B,ROW()))</f>
        <v/>
      </c>
      <c r="B16" s="21" t="str">
        <f>IF(INDEX(Workers!$C:$C,ROW())="","",INDEX(Workers!$C:$C,ROW()))</f>
        <v/>
      </c>
      <c r="C16" s="21" t="str">
        <f>IF(INDEX(Workers!$D:$D,ROW())="","",INDEX(Workers!$D:$D,ROW()))</f>
        <v/>
      </c>
      <c r="D16" s="22" t="str">
        <f>IF(INDEX(Workers!$E:$E,ROW())="","",INDEX(Workers!$E:$E,ROW()))</f>
        <v/>
      </c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4" t="str">
        <f t="shared" si="0"/>
        <v/>
      </c>
      <c r="AK16" s="24" t="str">
        <f t="shared" si="1"/>
        <v/>
      </c>
      <c r="AL16" s="25" t="str">
        <f>IF(B16="","",AJ16*N(D16)+AK16*N(D16)/Setup!$B$6*Setup!$B$7)</f>
        <v/>
      </c>
      <c r="AM16" s="25" t="str">
        <f>IF(B16="","",SUMIFS(Payments!$D$5:$D$304,Payments!$B$5:$B$304,A16,Payments!$A$5:$A$304,"&gt;="&amp;DATE(Setup!$B$4,3,1),Payments!$A$5:$A$304,"&lt;="&amp;EOMONTH(DATE(Setup!$B$4,3,1),0)))</f>
        <v/>
      </c>
      <c r="AN16" s="25" t="str">
        <f t="shared" si="2"/>
        <v/>
      </c>
    </row>
    <row r="17" spans="1:40" x14ac:dyDescent="0.3">
      <c r="A17" s="14" t="str">
        <f>IF(INDEX(Workers!$B:$B,ROW())="","",INDEX(Workers!$B:$B,ROW()))</f>
        <v/>
      </c>
      <c r="B17" s="21" t="str">
        <f>IF(INDEX(Workers!$C:$C,ROW())="","",INDEX(Workers!$C:$C,ROW()))</f>
        <v/>
      </c>
      <c r="C17" s="21" t="str">
        <f>IF(INDEX(Workers!$D:$D,ROW())="","",INDEX(Workers!$D:$D,ROW()))</f>
        <v/>
      </c>
      <c r="D17" s="22" t="str">
        <f>IF(INDEX(Workers!$E:$E,ROW())="","",INDEX(Workers!$E:$E,ROW()))</f>
        <v/>
      </c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4" t="str">
        <f t="shared" si="0"/>
        <v/>
      </c>
      <c r="AK17" s="24" t="str">
        <f t="shared" si="1"/>
        <v/>
      </c>
      <c r="AL17" s="25" t="str">
        <f>IF(B17="","",AJ17*N(D17)+AK17*N(D17)/Setup!$B$6*Setup!$B$7)</f>
        <v/>
      </c>
      <c r="AM17" s="25" t="str">
        <f>IF(B17="","",SUMIFS(Payments!$D$5:$D$304,Payments!$B$5:$B$304,A17,Payments!$A$5:$A$304,"&gt;="&amp;DATE(Setup!$B$4,3,1),Payments!$A$5:$A$304,"&lt;="&amp;EOMONTH(DATE(Setup!$B$4,3,1),0)))</f>
        <v/>
      </c>
      <c r="AN17" s="25" t="str">
        <f t="shared" si="2"/>
        <v/>
      </c>
    </row>
    <row r="18" spans="1:40" x14ac:dyDescent="0.3">
      <c r="A18" s="14" t="str">
        <f>IF(INDEX(Workers!$B:$B,ROW())="","",INDEX(Workers!$B:$B,ROW()))</f>
        <v/>
      </c>
      <c r="B18" s="21" t="str">
        <f>IF(INDEX(Workers!$C:$C,ROW())="","",INDEX(Workers!$C:$C,ROW()))</f>
        <v/>
      </c>
      <c r="C18" s="21" t="str">
        <f>IF(INDEX(Workers!$D:$D,ROW())="","",INDEX(Workers!$D:$D,ROW()))</f>
        <v/>
      </c>
      <c r="D18" s="22" t="str">
        <f>IF(INDEX(Workers!$E:$E,ROW())="","",INDEX(Workers!$E:$E,ROW()))</f>
        <v/>
      </c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4" t="str">
        <f t="shared" si="0"/>
        <v/>
      </c>
      <c r="AK18" s="24" t="str">
        <f t="shared" si="1"/>
        <v/>
      </c>
      <c r="AL18" s="25" t="str">
        <f>IF(B18="","",AJ18*N(D18)+AK18*N(D18)/Setup!$B$6*Setup!$B$7)</f>
        <v/>
      </c>
      <c r="AM18" s="25" t="str">
        <f>IF(B18="","",SUMIFS(Payments!$D$5:$D$304,Payments!$B$5:$B$304,A18,Payments!$A$5:$A$304,"&gt;="&amp;DATE(Setup!$B$4,3,1),Payments!$A$5:$A$304,"&lt;="&amp;EOMONTH(DATE(Setup!$B$4,3,1),0)))</f>
        <v/>
      </c>
      <c r="AN18" s="25" t="str">
        <f t="shared" si="2"/>
        <v/>
      </c>
    </row>
    <row r="19" spans="1:40" x14ac:dyDescent="0.3">
      <c r="A19" s="14" t="str">
        <f>IF(INDEX(Workers!$B:$B,ROW())="","",INDEX(Workers!$B:$B,ROW()))</f>
        <v/>
      </c>
      <c r="B19" s="21" t="str">
        <f>IF(INDEX(Workers!$C:$C,ROW())="","",INDEX(Workers!$C:$C,ROW()))</f>
        <v/>
      </c>
      <c r="C19" s="21" t="str">
        <f>IF(INDEX(Workers!$D:$D,ROW())="","",INDEX(Workers!$D:$D,ROW()))</f>
        <v/>
      </c>
      <c r="D19" s="22" t="str">
        <f>IF(INDEX(Workers!$E:$E,ROW())="","",INDEX(Workers!$E:$E,ROW()))</f>
        <v/>
      </c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4" t="str">
        <f t="shared" si="0"/>
        <v/>
      </c>
      <c r="AK19" s="24" t="str">
        <f t="shared" si="1"/>
        <v/>
      </c>
      <c r="AL19" s="25" t="str">
        <f>IF(B19="","",AJ19*N(D19)+AK19*N(D19)/Setup!$B$6*Setup!$B$7)</f>
        <v/>
      </c>
      <c r="AM19" s="25" t="str">
        <f>IF(B19="","",SUMIFS(Payments!$D$5:$D$304,Payments!$B$5:$B$304,A19,Payments!$A$5:$A$304,"&gt;="&amp;DATE(Setup!$B$4,3,1),Payments!$A$5:$A$304,"&lt;="&amp;EOMONTH(DATE(Setup!$B$4,3,1),0)))</f>
        <v/>
      </c>
      <c r="AN19" s="25" t="str">
        <f t="shared" si="2"/>
        <v/>
      </c>
    </row>
    <row r="20" spans="1:40" x14ac:dyDescent="0.3">
      <c r="A20" s="14" t="str">
        <f>IF(INDEX(Workers!$B:$B,ROW())="","",INDEX(Workers!$B:$B,ROW()))</f>
        <v/>
      </c>
      <c r="B20" s="21" t="str">
        <f>IF(INDEX(Workers!$C:$C,ROW())="","",INDEX(Workers!$C:$C,ROW()))</f>
        <v/>
      </c>
      <c r="C20" s="21" t="str">
        <f>IF(INDEX(Workers!$D:$D,ROW())="","",INDEX(Workers!$D:$D,ROW()))</f>
        <v/>
      </c>
      <c r="D20" s="22" t="str">
        <f>IF(INDEX(Workers!$E:$E,ROW())="","",INDEX(Workers!$E:$E,ROW()))</f>
        <v/>
      </c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4" t="str">
        <f t="shared" si="0"/>
        <v/>
      </c>
      <c r="AK20" s="24" t="str">
        <f t="shared" si="1"/>
        <v/>
      </c>
      <c r="AL20" s="25" t="str">
        <f>IF(B20="","",AJ20*N(D20)+AK20*N(D20)/Setup!$B$6*Setup!$B$7)</f>
        <v/>
      </c>
      <c r="AM20" s="25" t="str">
        <f>IF(B20="","",SUMIFS(Payments!$D$5:$D$304,Payments!$B$5:$B$304,A20,Payments!$A$5:$A$304,"&gt;="&amp;DATE(Setup!$B$4,3,1),Payments!$A$5:$A$304,"&lt;="&amp;EOMONTH(DATE(Setup!$B$4,3,1),0)))</f>
        <v/>
      </c>
      <c r="AN20" s="25" t="str">
        <f t="shared" si="2"/>
        <v/>
      </c>
    </row>
    <row r="21" spans="1:40" x14ac:dyDescent="0.3">
      <c r="A21" s="14" t="str">
        <f>IF(INDEX(Workers!$B:$B,ROW())="","",INDEX(Workers!$B:$B,ROW()))</f>
        <v/>
      </c>
      <c r="B21" s="21" t="str">
        <f>IF(INDEX(Workers!$C:$C,ROW())="","",INDEX(Workers!$C:$C,ROW()))</f>
        <v/>
      </c>
      <c r="C21" s="21" t="str">
        <f>IF(INDEX(Workers!$D:$D,ROW())="","",INDEX(Workers!$D:$D,ROW()))</f>
        <v/>
      </c>
      <c r="D21" s="22" t="str">
        <f>IF(INDEX(Workers!$E:$E,ROW())="","",INDEX(Workers!$E:$E,ROW()))</f>
        <v/>
      </c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4" t="str">
        <f t="shared" si="0"/>
        <v/>
      </c>
      <c r="AK21" s="24" t="str">
        <f t="shared" si="1"/>
        <v/>
      </c>
      <c r="AL21" s="25" t="str">
        <f>IF(B21="","",AJ21*N(D21)+AK21*N(D21)/Setup!$B$6*Setup!$B$7)</f>
        <v/>
      </c>
      <c r="AM21" s="25" t="str">
        <f>IF(B21="","",SUMIFS(Payments!$D$5:$D$304,Payments!$B$5:$B$304,A21,Payments!$A$5:$A$304,"&gt;="&amp;DATE(Setup!$B$4,3,1),Payments!$A$5:$A$304,"&lt;="&amp;EOMONTH(DATE(Setup!$B$4,3,1),0)))</f>
        <v/>
      </c>
      <c r="AN21" s="25" t="str">
        <f t="shared" si="2"/>
        <v/>
      </c>
    </row>
    <row r="22" spans="1:40" x14ac:dyDescent="0.3">
      <c r="A22" s="14" t="str">
        <f>IF(INDEX(Workers!$B:$B,ROW())="","",INDEX(Workers!$B:$B,ROW()))</f>
        <v/>
      </c>
      <c r="B22" s="21" t="str">
        <f>IF(INDEX(Workers!$C:$C,ROW())="","",INDEX(Workers!$C:$C,ROW()))</f>
        <v/>
      </c>
      <c r="C22" s="21" t="str">
        <f>IF(INDEX(Workers!$D:$D,ROW())="","",INDEX(Workers!$D:$D,ROW()))</f>
        <v/>
      </c>
      <c r="D22" s="22" t="str">
        <f>IF(INDEX(Workers!$E:$E,ROW())="","",INDEX(Workers!$E:$E,ROW()))</f>
        <v/>
      </c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4" t="str">
        <f t="shared" si="0"/>
        <v/>
      </c>
      <c r="AK22" s="24" t="str">
        <f t="shared" si="1"/>
        <v/>
      </c>
      <c r="AL22" s="25" t="str">
        <f>IF(B22="","",AJ22*N(D22)+AK22*N(D22)/Setup!$B$6*Setup!$B$7)</f>
        <v/>
      </c>
      <c r="AM22" s="25" t="str">
        <f>IF(B22="","",SUMIFS(Payments!$D$5:$D$304,Payments!$B$5:$B$304,A22,Payments!$A$5:$A$304,"&gt;="&amp;DATE(Setup!$B$4,3,1),Payments!$A$5:$A$304,"&lt;="&amp;EOMONTH(DATE(Setup!$B$4,3,1),0)))</f>
        <v/>
      </c>
      <c r="AN22" s="25" t="str">
        <f t="shared" si="2"/>
        <v/>
      </c>
    </row>
    <row r="23" spans="1:40" x14ac:dyDescent="0.3">
      <c r="A23" s="14" t="str">
        <f>IF(INDEX(Workers!$B:$B,ROW())="","",INDEX(Workers!$B:$B,ROW()))</f>
        <v/>
      </c>
      <c r="B23" s="21" t="str">
        <f>IF(INDEX(Workers!$C:$C,ROW())="","",INDEX(Workers!$C:$C,ROW()))</f>
        <v/>
      </c>
      <c r="C23" s="21" t="str">
        <f>IF(INDEX(Workers!$D:$D,ROW())="","",INDEX(Workers!$D:$D,ROW()))</f>
        <v/>
      </c>
      <c r="D23" s="22" t="str">
        <f>IF(INDEX(Workers!$E:$E,ROW())="","",INDEX(Workers!$E:$E,ROW()))</f>
        <v/>
      </c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4" t="str">
        <f t="shared" si="0"/>
        <v/>
      </c>
      <c r="AK23" s="24" t="str">
        <f t="shared" si="1"/>
        <v/>
      </c>
      <c r="AL23" s="25" t="str">
        <f>IF(B23="","",AJ23*N(D23)+AK23*N(D23)/Setup!$B$6*Setup!$B$7)</f>
        <v/>
      </c>
      <c r="AM23" s="25" t="str">
        <f>IF(B23="","",SUMIFS(Payments!$D$5:$D$304,Payments!$B$5:$B$304,A23,Payments!$A$5:$A$304,"&gt;="&amp;DATE(Setup!$B$4,3,1),Payments!$A$5:$A$304,"&lt;="&amp;EOMONTH(DATE(Setup!$B$4,3,1),0)))</f>
        <v/>
      </c>
      <c r="AN23" s="25" t="str">
        <f t="shared" si="2"/>
        <v/>
      </c>
    </row>
    <row r="24" spans="1:40" x14ac:dyDescent="0.3">
      <c r="A24" s="14" t="str">
        <f>IF(INDEX(Workers!$B:$B,ROW())="","",INDEX(Workers!$B:$B,ROW()))</f>
        <v/>
      </c>
      <c r="B24" s="21" t="str">
        <f>IF(INDEX(Workers!$C:$C,ROW())="","",INDEX(Workers!$C:$C,ROW()))</f>
        <v/>
      </c>
      <c r="C24" s="21" t="str">
        <f>IF(INDEX(Workers!$D:$D,ROW())="","",INDEX(Workers!$D:$D,ROW()))</f>
        <v/>
      </c>
      <c r="D24" s="22" t="str">
        <f>IF(INDEX(Workers!$E:$E,ROW())="","",INDEX(Workers!$E:$E,ROW()))</f>
        <v/>
      </c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4" t="str">
        <f t="shared" si="0"/>
        <v/>
      </c>
      <c r="AK24" s="24" t="str">
        <f t="shared" si="1"/>
        <v/>
      </c>
      <c r="AL24" s="25" t="str">
        <f>IF(B24="","",AJ24*N(D24)+AK24*N(D24)/Setup!$B$6*Setup!$B$7)</f>
        <v/>
      </c>
      <c r="AM24" s="25" t="str">
        <f>IF(B24="","",SUMIFS(Payments!$D$5:$D$304,Payments!$B$5:$B$304,A24,Payments!$A$5:$A$304,"&gt;="&amp;DATE(Setup!$B$4,3,1),Payments!$A$5:$A$304,"&lt;="&amp;EOMONTH(DATE(Setup!$B$4,3,1),0)))</f>
        <v/>
      </c>
      <c r="AN24" s="25" t="str">
        <f t="shared" si="2"/>
        <v/>
      </c>
    </row>
    <row r="25" spans="1:40" x14ac:dyDescent="0.3">
      <c r="A25" s="14" t="str">
        <f>IF(INDEX(Workers!$B:$B,ROW())="","",INDEX(Workers!$B:$B,ROW()))</f>
        <v/>
      </c>
      <c r="B25" s="21" t="str">
        <f>IF(INDEX(Workers!$C:$C,ROW())="","",INDEX(Workers!$C:$C,ROW()))</f>
        <v/>
      </c>
      <c r="C25" s="21" t="str">
        <f>IF(INDEX(Workers!$D:$D,ROW())="","",INDEX(Workers!$D:$D,ROW()))</f>
        <v/>
      </c>
      <c r="D25" s="22" t="str">
        <f>IF(INDEX(Workers!$E:$E,ROW())="","",INDEX(Workers!$E:$E,ROW()))</f>
        <v/>
      </c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4" t="str">
        <f t="shared" si="0"/>
        <v/>
      </c>
      <c r="AK25" s="24" t="str">
        <f t="shared" si="1"/>
        <v/>
      </c>
      <c r="AL25" s="25" t="str">
        <f>IF(B25="","",AJ25*N(D25)+AK25*N(D25)/Setup!$B$6*Setup!$B$7)</f>
        <v/>
      </c>
      <c r="AM25" s="25" t="str">
        <f>IF(B25="","",SUMIFS(Payments!$D$5:$D$304,Payments!$B$5:$B$304,A25,Payments!$A$5:$A$304,"&gt;="&amp;DATE(Setup!$B$4,3,1),Payments!$A$5:$A$304,"&lt;="&amp;EOMONTH(DATE(Setup!$B$4,3,1),0)))</f>
        <v/>
      </c>
      <c r="AN25" s="25" t="str">
        <f t="shared" si="2"/>
        <v/>
      </c>
    </row>
    <row r="26" spans="1:40" x14ac:dyDescent="0.3">
      <c r="A26" s="14" t="str">
        <f>IF(INDEX(Workers!$B:$B,ROW())="","",INDEX(Workers!$B:$B,ROW()))</f>
        <v/>
      </c>
      <c r="B26" s="21" t="str">
        <f>IF(INDEX(Workers!$C:$C,ROW())="","",INDEX(Workers!$C:$C,ROW()))</f>
        <v/>
      </c>
      <c r="C26" s="21" t="str">
        <f>IF(INDEX(Workers!$D:$D,ROW())="","",INDEX(Workers!$D:$D,ROW()))</f>
        <v/>
      </c>
      <c r="D26" s="22" t="str">
        <f>IF(INDEX(Workers!$E:$E,ROW())="","",INDEX(Workers!$E:$E,ROW()))</f>
        <v/>
      </c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4" t="str">
        <f t="shared" si="0"/>
        <v/>
      </c>
      <c r="AK26" s="24" t="str">
        <f t="shared" si="1"/>
        <v/>
      </c>
      <c r="AL26" s="25" t="str">
        <f>IF(B26="","",AJ26*N(D26)+AK26*N(D26)/Setup!$B$6*Setup!$B$7)</f>
        <v/>
      </c>
      <c r="AM26" s="25" t="str">
        <f>IF(B26="","",SUMIFS(Payments!$D$5:$D$304,Payments!$B$5:$B$304,A26,Payments!$A$5:$A$304,"&gt;="&amp;DATE(Setup!$B$4,3,1),Payments!$A$5:$A$304,"&lt;="&amp;EOMONTH(DATE(Setup!$B$4,3,1),0)))</f>
        <v/>
      </c>
      <c r="AN26" s="25" t="str">
        <f t="shared" si="2"/>
        <v/>
      </c>
    </row>
    <row r="27" spans="1:40" x14ac:dyDescent="0.3">
      <c r="A27" s="14" t="str">
        <f>IF(INDEX(Workers!$B:$B,ROW())="","",INDEX(Workers!$B:$B,ROW()))</f>
        <v/>
      </c>
      <c r="B27" s="21" t="str">
        <f>IF(INDEX(Workers!$C:$C,ROW())="","",INDEX(Workers!$C:$C,ROW()))</f>
        <v/>
      </c>
      <c r="C27" s="21" t="str">
        <f>IF(INDEX(Workers!$D:$D,ROW())="","",INDEX(Workers!$D:$D,ROW()))</f>
        <v/>
      </c>
      <c r="D27" s="22" t="str">
        <f>IF(INDEX(Workers!$E:$E,ROW())="","",INDEX(Workers!$E:$E,ROW()))</f>
        <v/>
      </c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4" t="str">
        <f t="shared" si="0"/>
        <v/>
      </c>
      <c r="AK27" s="24" t="str">
        <f t="shared" si="1"/>
        <v/>
      </c>
      <c r="AL27" s="25" t="str">
        <f>IF(B27="","",AJ27*N(D27)+AK27*N(D27)/Setup!$B$6*Setup!$B$7)</f>
        <v/>
      </c>
      <c r="AM27" s="25" t="str">
        <f>IF(B27="","",SUMIFS(Payments!$D$5:$D$304,Payments!$B$5:$B$304,A27,Payments!$A$5:$A$304,"&gt;="&amp;DATE(Setup!$B$4,3,1),Payments!$A$5:$A$304,"&lt;="&amp;EOMONTH(DATE(Setup!$B$4,3,1),0)))</f>
        <v/>
      </c>
      <c r="AN27" s="25" t="str">
        <f t="shared" si="2"/>
        <v/>
      </c>
    </row>
    <row r="28" spans="1:40" x14ac:dyDescent="0.3">
      <c r="A28" s="14" t="str">
        <f>IF(INDEX(Workers!$B:$B,ROW())="","",INDEX(Workers!$B:$B,ROW()))</f>
        <v/>
      </c>
      <c r="B28" s="21" t="str">
        <f>IF(INDEX(Workers!$C:$C,ROW())="","",INDEX(Workers!$C:$C,ROW()))</f>
        <v/>
      </c>
      <c r="C28" s="21" t="str">
        <f>IF(INDEX(Workers!$D:$D,ROW())="","",INDEX(Workers!$D:$D,ROW()))</f>
        <v/>
      </c>
      <c r="D28" s="22" t="str">
        <f>IF(INDEX(Workers!$E:$E,ROW())="","",INDEX(Workers!$E:$E,ROW()))</f>
        <v/>
      </c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4" t="str">
        <f t="shared" si="0"/>
        <v/>
      </c>
      <c r="AK28" s="24" t="str">
        <f t="shared" si="1"/>
        <v/>
      </c>
      <c r="AL28" s="25" t="str">
        <f>IF(B28="","",AJ28*N(D28)+AK28*N(D28)/Setup!$B$6*Setup!$B$7)</f>
        <v/>
      </c>
      <c r="AM28" s="25" t="str">
        <f>IF(B28="","",SUMIFS(Payments!$D$5:$D$304,Payments!$B$5:$B$304,A28,Payments!$A$5:$A$304,"&gt;="&amp;DATE(Setup!$B$4,3,1),Payments!$A$5:$A$304,"&lt;="&amp;EOMONTH(DATE(Setup!$B$4,3,1),0)))</f>
        <v/>
      </c>
      <c r="AN28" s="25" t="str">
        <f t="shared" si="2"/>
        <v/>
      </c>
    </row>
    <row r="29" spans="1:40" x14ac:dyDescent="0.3">
      <c r="A29" s="14" t="str">
        <f>IF(INDEX(Workers!$B:$B,ROW())="","",INDEX(Workers!$B:$B,ROW()))</f>
        <v/>
      </c>
      <c r="B29" s="21" t="str">
        <f>IF(INDEX(Workers!$C:$C,ROW())="","",INDEX(Workers!$C:$C,ROW()))</f>
        <v/>
      </c>
      <c r="C29" s="21" t="str">
        <f>IF(INDEX(Workers!$D:$D,ROW())="","",INDEX(Workers!$D:$D,ROW()))</f>
        <v/>
      </c>
      <c r="D29" s="22" t="str">
        <f>IF(INDEX(Workers!$E:$E,ROW())="","",INDEX(Workers!$E:$E,ROW()))</f>
        <v/>
      </c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4" t="str">
        <f t="shared" si="0"/>
        <v/>
      </c>
      <c r="AK29" s="24" t="str">
        <f t="shared" si="1"/>
        <v/>
      </c>
      <c r="AL29" s="25" t="str">
        <f>IF(B29="","",AJ29*N(D29)+AK29*N(D29)/Setup!$B$6*Setup!$B$7)</f>
        <v/>
      </c>
      <c r="AM29" s="25" t="str">
        <f>IF(B29="","",SUMIFS(Payments!$D$5:$D$304,Payments!$B$5:$B$304,A29,Payments!$A$5:$A$304,"&gt;="&amp;DATE(Setup!$B$4,3,1),Payments!$A$5:$A$304,"&lt;="&amp;EOMONTH(DATE(Setup!$B$4,3,1),0)))</f>
        <v/>
      </c>
      <c r="AN29" s="25" t="str">
        <f t="shared" si="2"/>
        <v/>
      </c>
    </row>
    <row r="30" spans="1:40" x14ac:dyDescent="0.3">
      <c r="A30" s="14" t="str">
        <f>IF(INDEX(Workers!$B:$B,ROW())="","",INDEX(Workers!$B:$B,ROW()))</f>
        <v/>
      </c>
      <c r="B30" s="21" t="str">
        <f>IF(INDEX(Workers!$C:$C,ROW())="","",INDEX(Workers!$C:$C,ROW()))</f>
        <v/>
      </c>
      <c r="C30" s="21" t="str">
        <f>IF(INDEX(Workers!$D:$D,ROW())="","",INDEX(Workers!$D:$D,ROW()))</f>
        <v/>
      </c>
      <c r="D30" s="22" t="str">
        <f>IF(INDEX(Workers!$E:$E,ROW())="","",INDEX(Workers!$E:$E,ROW()))</f>
        <v/>
      </c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4" t="str">
        <f t="shared" si="0"/>
        <v/>
      </c>
      <c r="AK30" s="24" t="str">
        <f t="shared" si="1"/>
        <v/>
      </c>
      <c r="AL30" s="25" t="str">
        <f>IF(B30="","",AJ30*N(D30)+AK30*N(D30)/Setup!$B$6*Setup!$B$7)</f>
        <v/>
      </c>
      <c r="AM30" s="25" t="str">
        <f>IF(B30="","",SUMIFS(Payments!$D$5:$D$304,Payments!$B$5:$B$304,A30,Payments!$A$5:$A$304,"&gt;="&amp;DATE(Setup!$B$4,3,1),Payments!$A$5:$A$304,"&lt;="&amp;EOMONTH(DATE(Setup!$B$4,3,1),0)))</f>
        <v/>
      </c>
      <c r="AN30" s="25" t="str">
        <f t="shared" si="2"/>
        <v/>
      </c>
    </row>
    <row r="31" spans="1:40" x14ac:dyDescent="0.3">
      <c r="A31" s="14" t="str">
        <f>IF(INDEX(Workers!$B:$B,ROW())="","",INDEX(Workers!$B:$B,ROW()))</f>
        <v/>
      </c>
      <c r="B31" s="21" t="str">
        <f>IF(INDEX(Workers!$C:$C,ROW())="","",INDEX(Workers!$C:$C,ROW()))</f>
        <v/>
      </c>
      <c r="C31" s="21" t="str">
        <f>IF(INDEX(Workers!$D:$D,ROW())="","",INDEX(Workers!$D:$D,ROW()))</f>
        <v/>
      </c>
      <c r="D31" s="22" t="str">
        <f>IF(INDEX(Workers!$E:$E,ROW())="","",INDEX(Workers!$E:$E,ROW()))</f>
        <v/>
      </c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4" t="str">
        <f t="shared" si="0"/>
        <v/>
      </c>
      <c r="AK31" s="24" t="str">
        <f t="shared" si="1"/>
        <v/>
      </c>
      <c r="AL31" s="25" t="str">
        <f>IF(B31="","",AJ31*N(D31)+AK31*N(D31)/Setup!$B$6*Setup!$B$7)</f>
        <v/>
      </c>
      <c r="AM31" s="25" t="str">
        <f>IF(B31="","",SUMIFS(Payments!$D$5:$D$304,Payments!$B$5:$B$304,A31,Payments!$A$5:$A$304,"&gt;="&amp;DATE(Setup!$B$4,3,1),Payments!$A$5:$A$304,"&lt;="&amp;EOMONTH(DATE(Setup!$B$4,3,1),0)))</f>
        <v/>
      </c>
      <c r="AN31" s="25" t="str">
        <f t="shared" si="2"/>
        <v/>
      </c>
    </row>
    <row r="32" spans="1:40" x14ac:dyDescent="0.3">
      <c r="A32" s="14" t="str">
        <f>IF(INDEX(Workers!$B:$B,ROW())="","",INDEX(Workers!$B:$B,ROW()))</f>
        <v/>
      </c>
      <c r="B32" s="21" t="str">
        <f>IF(INDEX(Workers!$C:$C,ROW())="","",INDEX(Workers!$C:$C,ROW()))</f>
        <v/>
      </c>
      <c r="C32" s="21" t="str">
        <f>IF(INDEX(Workers!$D:$D,ROW())="","",INDEX(Workers!$D:$D,ROW()))</f>
        <v/>
      </c>
      <c r="D32" s="22" t="str">
        <f>IF(INDEX(Workers!$E:$E,ROW())="","",INDEX(Workers!$E:$E,ROW()))</f>
        <v/>
      </c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4" t="str">
        <f t="shared" si="0"/>
        <v/>
      </c>
      <c r="AK32" s="24" t="str">
        <f t="shared" si="1"/>
        <v/>
      </c>
      <c r="AL32" s="25" t="str">
        <f>IF(B32="","",AJ32*N(D32)+AK32*N(D32)/Setup!$B$6*Setup!$B$7)</f>
        <v/>
      </c>
      <c r="AM32" s="25" t="str">
        <f>IF(B32="","",SUMIFS(Payments!$D$5:$D$304,Payments!$B$5:$B$304,A32,Payments!$A$5:$A$304,"&gt;="&amp;DATE(Setup!$B$4,3,1),Payments!$A$5:$A$304,"&lt;="&amp;EOMONTH(DATE(Setup!$B$4,3,1),0)))</f>
        <v/>
      </c>
      <c r="AN32" s="25" t="str">
        <f t="shared" si="2"/>
        <v/>
      </c>
    </row>
    <row r="33" spans="1:40" x14ac:dyDescent="0.3">
      <c r="A33" s="14" t="str">
        <f>IF(INDEX(Workers!$B:$B,ROW())="","",INDEX(Workers!$B:$B,ROW()))</f>
        <v/>
      </c>
      <c r="B33" s="21" t="str">
        <f>IF(INDEX(Workers!$C:$C,ROW())="","",INDEX(Workers!$C:$C,ROW()))</f>
        <v/>
      </c>
      <c r="C33" s="21" t="str">
        <f>IF(INDEX(Workers!$D:$D,ROW())="","",INDEX(Workers!$D:$D,ROW()))</f>
        <v/>
      </c>
      <c r="D33" s="22" t="str">
        <f>IF(INDEX(Workers!$E:$E,ROW())="","",INDEX(Workers!$E:$E,ROW()))</f>
        <v/>
      </c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4" t="str">
        <f t="shared" si="0"/>
        <v/>
      </c>
      <c r="AK33" s="24" t="str">
        <f t="shared" si="1"/>
        <v/>
      </c>
      <c r="AL33" s="25" t="str">
        <f>IF(B33="","",AJ33*N(D33)+AK33*N(D33)/Setup!$B$6*Setup!$B$7)</f>
        <v/>
      </c>
      <c r="AM33" s="25" t="str">
        <f>IF(B33="","",SUMIFS(Payments!$D$5:$D$304,Payments!$B$5:$B$304,A33,Payments!$A$5:$A$304,"&gt;="&amp;DATE(Setup!$B$4,3,1),Payments!$A$5:$A$304,"&lt;="&amp;EOMONTH(DATE(Setup!$B$4,3,1),0)))</f>
        <v/>
      </c>
      <c r="AN33" s="25" t="str">
        <f t="shared" si="2"/>
        <v/>
      </c>
    </row>
    <row r="34" spans="1:40" x14ac:dyDescent="0.3">
      <c r="A34" s="14" t="str">
        <f>IF(INDEX(Workers!$B:$B,ROW())="","",INDEX(Workers!$B:$B,ROW()))</f>
        <v/>
      </c>
      <c r="B34" s="21" t="str">
        <f>IF(INDEX(Workers!$C:$C,ROW())="","",INDEX(Workers!$C:$C,ROW()))</f>
        <v/>
      </c>
      <c r="C34" s="21" t="str">
        <f>IF(INDEX(Workers!$D:$D,ROW())="","",INDEX(Workers!$D:$D,ROW()))</f>
        <v/>
      </c>
      <c r="D34" s="22" t="str">
        <f>IF(INDEX(Workers!$E:$E,ROW())="","",INDEX(Workers!$E:$E,ROW()))</f>
        <v/>
      </c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4" t="str">
        <f t="shared" si="0"/>
        <v/>
      </c>
      <c r="AK34" s="24" t="str">
        <f t="shared" si="1"/>
        <v/>
      </c>
      <c r="AL34" s="25" t="str">
        <f>IF(B34="","",AJ34*N(D34)+AK34*N(D34)/Setup!$B$6*Setup!$B$7)</f>
        <v/>
      </c>
      <c r="AM34" s="25" t="str">
        <f>IF(B34="","",SUMIFS(Payments!$D$5:$D$304,Payments!$B$5:$B$304,A34,Payments!$A$5:$A$304,"&gt;="&amp;DATE(Setup!$B$4,3,1),Payments!$A$5:$A$304,"&lt;="&amp;EOMONTH(DATE(Setup!$B$4,3,1),0)))</f>
        <v/>
      </c>
      <c r="AN34" s="25" t="str">
        <f t="shared" si="2"/>
        <v/>
      </c>
    </row>
    <row r="35" spans="1:40" x14ac:dyDescent="0.3">
      <c r="A35" s="14" t="str">
        <f>IF(INDEX(Workers!$B:$B,ROW())="","",INDEX(Workers!$B:$B,ROW()))</f>
        <v/>
      </c>
      <c r="B35" s="21" t="str">
        <f>IF(INDEX(Workers!$C:$C,ROW())="","",INDEX(Workers!$C:$C,ROW()))</f>
        <v/>
      </c>
      <c r="C35" s="21" t="str">
        <f>IF(INDEX(Workers!$D:$D,ROW())="","",INDEX(Workers!$D:$D,ROW()))</f>
        <v/>
      </c>
      <c r="D35" s="22" t="str">
        <f>IF(INDEX(Workers!$E:$E,ROW())="","",INDEX(Workers!$E:$E,ROW()))</f>
        <v/>
      </c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4" t="str">
        <f t="shared" si="0"/>
        <v/>
      </c>
      <c r="AK35" s="24" t="str">
        <f t="shared" si="1"/>
        <v/>
      </c>
      <c r="AL35" s="25" t="str">
        <f>IF(B35="","",AJ35*N(D35)+AK35*N(D35)/Setup!$B$6*Setup!$B$7)</f>
        <v/>
      </c>
      <c r="AM35" s="25" t="str">
        <f>IF(B35="","",SUMIFS(Payments!$D$5:$D$304,Payments!$B$5:$B$304,A35,Payments!$A$5:$A$304,"&gt;="&amp;DATE(Setup!$B$4,3,1),Payments!$A$5:$A$304,"&lt;="&amp;EOMONTH(DATE(Setup!$B$4,3,1),0)))</f>
        <v/>
      </c>
      <c r="AN35" s="25" t="str">
        <f t="shared" si="2"/>
        <v/>
      </c>
    </row>
    <row r="36" spans="1:40" x14ac:dyDescent="0.3">
      <c r="A36" s="14" t="str">
        <f>IF(INDEX(Workers!$B:$B,ROW())="","",INDEX(Workers!$B:$B,ROW()))</f>
        <v/>
      </c>
      <c r="B36" s="21" t="str">
        <f>IF(INDEX(Workers!$C:$C,ROW())="","",INDEX(Workers!$C:$C,ROW()))</f>
        <v/>
      </c>
      <c r="C36" s="21" t="str">
        <f>IF(INDEX(Workers!$D:$D,ROW())="","",INDEX(Workers!$D:$D,ROW()))</f>
        <v/>
      </c>
      <c r="D36" s="22" t="str">
        <f>IF(INDEX(Workers!$E:$E,ROW())="","",INDEX(Workers!$E:$E,ROW()))</f>
        <v/>
      </c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4" t="str">
        <f t="shared" si="0"/>
        <v/>
      </c>
      <c r="AK36" s="24" t="str">
        <f t="shared" si="1"/>
        <v/>
      </c>
      <c r="AL36" s="25" t="str">
        <f>IF(B36="","",AJ36*N(D36)+AK36*N(D36)/Setup!$B$6*Setup!$B$7)</f>
        <v/>
      </c>
      <c r="AM36" s="25" t="str">
        <f>IF(B36="","",SUMIFS(Payments!$D$5:$D$304,Payments!$B$5:$B$304,A36,Payments!$A$5:$A$304,"&gt;="&amp;DATE(Setup!$B$4,3,1),Payments!$A$5:$A$304,"&lt;="&amp;EOMONTH(DATE(Setup!$B$4,3,1),0)))</f>
        <v/>
      </c>
      <c r="AN36" s="25" t="str">
        <f t="shared" si="2"/>
        <v/>
      </c>
    </row>
    <row r="37" spans="1:40" x14ac:dyDescent="0.3">
      <c r="A37" s="14" t="str">
        <f>IF(INDEX(Workers!$B:$B,ROW())="","",INDEX(Workers!$B:$B,ROW()))</f>
        <v/>
      </c>
      <c r="B37" s="21" t="str">
        <f>IF(INDEX(Workers!$C:$C,ROW())="","",INDEX(Workers!$C:$C,ROW()))</f>
        <v/>
      </c>
      <c r="C37" s="21" t="str">
        <f>IF(INDEX(Workers!$D:$D,ROW())="","",INDEX(Workers!$D:$D,ROW()))</f>
        <v/>
      </c>
      <c r="D37" s="22" t="str">
        <f>IF(INDEX(Workers!$E:$E,ROW())="","",INDEX(Workers!$E:$E,ROW()))</f>
        <v/>
      </c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4" t="str">
        <f t="shared" si="0"/>
        <v/>
      </c>
      <c r="AK37" s="24" t="str">
        <f t="shared" si="1"/>
        <v/>
      </c>
      <c r="AL37" s="25" t="str">
        <f>IF(B37="","",AJ37*N(D37)+AK37*N(D37)/Setup!$B$6*Setup!$B$7)</f>
        <v/>
      </c>
      <c r="AM37" s="25" t="str">
        <f>IF(B37="","",SUMIFS(Payments!$D$5:$D$304,Payments!$B$5:$B$304,A37,Payments!$A$5:$A$304,"&gt;="&amp;DATE(Setup!$B$4,3,1),Payments!$A$5:$A$304,"&lt;="&amp;EOMONTH(DATE(Setup!$B$4,3,1),0)))</f>
        <v/>
      </c>
      <c r="AN37" s="25" t="str">
        <f t="shared" si="2"/>
        <v/>
      </c>
    </row>
    <row r="38" spans="1:40" x14ac:dyDescent="0.3">
      <c r="A38" s="14" t="str">
        <f>IF(INDEX(Workers!$B:$B,ROW())="","",INDEX(Workers!$B:$B,ROW()))</f>
        <v/>
      </c>
      <c r="B38" s="21" t="str">
        <f>IF(INDEX(Workers!$C:$C,ROW())="","",INDEX(Workers!$C:$C,ROW()))</f>
        <v/>
      </c>
      <c r="C38" s="21" t="str">
        <f>IF(INDEX(Workers!$D:$D,ROW())="","",INDEX(Workers!$D:$D,ROW()))</f>
        <v/>
      </c>
      <c r="D38" s="22" t="str">
        <f>IF(INDEX(Workers!$E:$E,ROW())="","",INDEX(Workers!$E:$E,ROW()))</f>
        <v/>
      </c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4" t="str">
        <f t="shared" si="0"/>
        <v/>
      </c>
      <c r="AK38" s="24" t="str">
        <f t="shared" si="1"/>
        <v/>
      </c>
      <c r="AL38" s="25" t="str">
        <f>IF(B38="","",AJ38*N(D38)+AK38*N(D38)/Setup!$B$6*Setup!$B$7)</f>
        <v/>
      </c>
      <c r="AM38" s="25" t="str">
        <f>IF(B38="","",SUMIFS(Payments!$D$5:$D$304,Payments!$B$5:$B$304,A38,Payments!$A$5:$A$304,"&gt;="&amp;DATE(Setup!$B$4,3,1),Payments!$A$5:$A$304,"&lt;="&amp;EOMONTH(DATE(Setup!$B$4,3,1),0)))</f>
        <v/>
      </c>
      <c r="AN38" s="25" t="str">
        <f t="shared" si="2"/>
        <v/>
      </c>
    </row>
    <row r="39" spans="1:40" x14ac:dyDescent="0.3">
      <c r="A39" s="14" t="str">
        <f>IF(INDEX(Workers!$B:$B,ROW())="","",INDEX(Workers!$B:$B,ROW()))</f>
        <v/>
      </c>
      <c r="B39" s="21" t="str">
        <f>IF(INDEX(Workers!$C:$C,ROW())="","",INDEX(Workers!$C:$C,ROW()))</f>
        <v/>
      </c>
      <c r="C39" s="21" t="str">
        <f>IF(INDEX(Workers!$D:$D,ROW())="","",INDEX(Workers!$D:$D,ROW()))</f>
        <v/>
      </c>
      <c r="D39" s="22" t="str">
        <f>IF(INDEX(Workers!$E:$E,ROW())="","",INDEX(Workers!$E:$E,ROW()))</f>
        <v/>
      </c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4" t="str">
        <f t="shared" si="0"/>
        <v/>
      </c>
      <c r="AK39" s="24" t="str">
        <f t="shared" si="1"/>
        <v/>
      </c>
      <c r="AL39" s="25" t="str">
        <f>IF(B39="","",AJ39*N(D39)+AK39*N(D39)/Setup!$B$6*Setup!$B$7)</f>
        <v/>
      </c>
      <c r="AM39" s="25" t="str">
        <f>IF(B39="","",SUMIFS(Payments!$D$5:$D$304,Payments!$B$5:$B$304,A39,Payments!$A$5:$A$304,"&gt;="&amp;DATE(Setup!$B$4,3,1),Payments!$A$5:$A$304,"&lt;="&amp;EOMONTH(DATE(Setup!$B$4,3,1),0)))</f>
        <v/>
      </c>
      <c r="AN39" s="25" t="str">
        <f t="shared" si="2"/>
        <v/>
      </c>
    </row>
    <row r="40" spans="1:40" x14ac:dyDescent="0.3">
      <c r="A40" s="14" t="str">
        <f>IF(INDEX(Workers!$B:$B,ROW())="","",INDEX(Workers!$B:$B,ROW()))</f>
        <v/>
      </c>
      <c r="B40" s="21" t="str">
        <f>IF(INDEX(Workers!$C:$C,ROW())="","",INDEX(Workers!$C:$C,ROW()))</f>
        <v/>
      </c>
      <c r="C40" s="21" t="str">
        <f>IF(INDEX(Workers!$D:$D,ROW())="","",INDEX(Workers!$D:$D,ROW()))</f>
        <v/>
      </c>
      <c r="D40" s="22" t="str">
        <f>IF(INDEX(Workers!$E:$E,ROW())="","",INDEX(Workers!$E:$E,ROW()))</f>
        <v/>
      </c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4" t="str">
        <f t="shared" si="0"/>
        <v/>
      </c>
      <c r="AK40" s="24" t="str">
        <f t="shared" si="1"/>
        <v/>
      </c>
      <c r="AL40" s="25" t="str">
        <f>IF(B40="","",AJ40*N(D40)+AK40*N(D40)/Setup!$B$6*Setup!$B$7)</f>
        <v/>
      </c>
      <c r="AM40" s="25" t="str">
        <f>IF(B40="","",SUMIFS(Payments!$D$5:$D$304,Payments!$B$5:$B$304,A40,Payments!$A$5:$A$304,"&gt;="&amp;DATE(Setup!$B$4,3,1),Payments!$A$5:$A$304,"&lt;="&amp;EOMONTH(DATE(Setup!$B$4,3,1),0)))</f>
        <v/>
      </c>
      <c r="AN40" s="25" t="str">
        <f t="shared" si="2"/>
        <v/>
      </c>
    </row>
    <row r="41" spans="1:40" x14ac:dyDescent="0.3">
      <c r="A41" s="14" t="str">
        <f>IF(INDEX(Workers!$B:$B,ROW())="","",INDEX(Workers!$B:$B,ROW()))</f>
        <v/>
      </c>
      <c r="B41" s="21" t="str">
        <f>IF(INDEX(Workers!$C:$C,ROW())="","",INDEX(Workers!$C:$C,ROW()))</f>
        <v/>
      </c>
      <c r="C41" s="21" t="str">
        <f>IF(INDEX(Workers!$D:$D,ROW())="","",INDEX(Workers!$D:$D,ROW()))</f>
        <v/>
      </c>
      <c r="D41" s="22" t="str">
        <f>IF(INDEX(Workers!$E:$E,ROW())="","",INDEX(Workers!$E:$E,ROW()))</f>
        <v/>
      </c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4" t="str">
        <f t="shared" si="0"/>
        <v/>
      </c>
      <c r="AK41" s="24" t="str">
        <f t="shared" si="1"/>
        <v/>
      </c>
      <c r="AL41" s="25" t="str">
        <f>IF(B41="","",AJ41*N(D41)+AK41*N(D41)/Setup!$B$6*Setup!$B$7)</f>
        <v/>
      </c>
      <c r="AM41" s="25" t="str">
        <f>IF(B41="","",SUMIFS(Payments!$D$5:$D$304,Payments!$B$5:$B$304,A41,Payments!$A$5:$A$304,"&gt;="&amp;DATE(Setup!$B$4,3,1),Payments!$A$5:$A$304,"&lt;="&amp;EOMONTH(DATE(Setup!$B$4,3,1),0)))</f>
        <v/>
      </c>
      <c r="AN41" s="25" t="str">
        <f t="shared" si="2"/>
        <v/>
      </c>
    </row>
    <row r="42" spans="1:40" x14ac:dyDescent="0.3">
      <c r="A42" s="14" t="str">
        <f>IF(INDEX(Workers!$B:$B,ROW())="","",INDEX(Workers!$B:$B,ROW()))</f>
        <v/>
      </c>
      <c r="B42" s="21" t="str">
        <f>IF(INDEX(Workers!$C:$C,ROW())="","",INDEX(Workers!$C:$C,ROW()))</f>
        <v/>
      </c>
      <c r="C42" s="21" t="str">
        <f>IF(INDEX(Workers!$D:$D,ROW())="","",INDEX(Workers!$D:$D,ROW()))</f>
        <v/>
      </c>
      <c r="D42" s="22" t="str">
        <f>IF(INDEX(Workers!$E:$E,ROW())="","",INDEX(Workers!$E:$E,ROW()))</f>
        <v/>
      </c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4" t="str">
        <f t="shared" si="0"/>
        <v/>
      </c>
      <c r="AK42" s="24" t="str">
        <f t="shared" si="1"/>
        <v/>
      </c>
      <c r="AL42" s="25" t="str">
        <f>IF(B42="","",AJ42*N(D42)+AK42*N(D42)/Setup!$B$6*Setup!$B$7)</f>
        <v/>
      </c>
      <c r="AM42" s="25" t="str">
        <f>IF(B42="","",SUMIFS(Payments!$D$5:$D$304,Payments!$B$5:$B$304,A42,Payments!$A$5:$A$304,"&gt;="&amp;DATE(Setup!$B$4,3,1),Payments!$A$5:$A$304,"&lt;="&amp;EOMONTH(DATE(Setup!$B$4,3,1),0)))</f>
        <v/>
      </c>
      <c r="AN42" s="25" t="str">
        <f t="shared" si="2"/>
        <v/>
      </c>
    </row>
    <row r="43" spans="1:40" x14ac:dyDescent="0.3">
      <c r="A43" s="14" t="str">
        <f>IF(INDEX(Workers!$B:$B,ROW())="","",INDEX(Workers!$B:$B,ROW()))</f>
        <v/>
      </c>
      <c r="B43" s="21" t="str">
        <f>IF(INDEX(Workers!$C:$C,ROW())="","",INDEX(Workers!$C:$C,ROW()))</f>
        <v/>
      </c>
      <c r="C43" s="21" t="str">
        <f>IF(INDEX(Workers!$D:$D,ROW())="","",INDEX(Workers!$D:$D,ROW()))</f>
        <v/>
      </c>
      <c r="D43" s="22" t="str">
        <f>IF(INDEX(Workers!$E:$E,ROW())="","",INDEX(Workers!$E:$E,ROW()))</f>
        <v/>
      </c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4" t="str">
        <f t="shared" si="0"/>
        <v/>
      </c>
      <c r="AK43" s="24" t="str">
        <f t="shared" si="1"/>
        <v/>
      </c>
      <c r="AL43" s="25" t="str">
        <f>IF(B43="","",AJ43*N(D43)+AK43*N(D43)/Setup!$B$6*Setup!$B$7)</f>
        <v/>
      </c>
      <c r="AM43" s="25" t="str">
        <f>IF(B43="","",SUMIFS(Payments!$D$5:$D$304,Payments!$B$5:$B$304,A43,Payments!$A$5:$A$304,"&gt;="&amp;DATE(Setup!$B$4,3,1),Payments!$A$5:$A$304,"&lt;="&amp;EOMONTH(DATE(Setup!$B$4,3,1),0)))</f>
        <v/>
      </c>
      <c r="AN43" s="25" t="str">
        <f t="shared" si="2"/>
        <v/>
      </c>
    </row>
    <row r="44" spans="1:40" x14ac:dyDescent="0.3">
      <c r="A44" s="14" t="str">
        <f>IF(INDEX(Workers!$B:$B,ROW())="","",INDEX(Workers!$B:$B,ROW()))</f>
        <v/>
      </c>
      <c r="B44" s="21" t="str">
        <f>IF(INDEX(Workers!$C:$C,ROW())="","",INDEX(Workers!$C:$C,ROW()))</f>
        <v/>
      </c>
      <c r="C44" s="21" t="str">
        <f>IF(INDEX(Workers!$D:$D,ROW())="","",INDEX(Workers!$D:$D,ROW()))</f>
        <v/>
      </c>
      <c r="D44" s="22" t="str">
        <f>IF(INDEX(Workers!$E:$E,ROW())="","",INDEX(Workers!$E:$E,ROW()))</f>
        <v/>
      </c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4" t="str">
        <f t="shared" si="0"/>
        <v/>
      </c>
      <c r="AK44" s="24" t="str">
        <f t="shared" si="1"/>
        <v/>
      </c>
      <c r="AL44" s="25" t="str">
        <f>IF(B44="","",AJ44*N(D44)+AK44*N(D44)/Setup!$B$6*Setup!$B$7)</f>
        <v/>
      </c>
      <c r="AM44" s="25" t="str">
        <f>IF(B44="","",SUMIFS(Payments!$D$5:$D$304,Payments!$B$5:$B$304,A44,Payments!$A$5:$A$304,"&gt;="&amp;DATE(Setup!$B$4,3,1),Payments!$A$5:$A$304,"&lt;="&amp;EOMONTH(DATE(Setup!$B$4,3,1),0)))</f>
        <v/>
      </c>
      <c r="AN44" s="25" t="str">
        <f t="shared" si="2"/>
        <v/>
      </c>
    </row>
    <row r="45" spans="1:40" x14ac:dyDescent="0.3">
      <c r="A45" s="26"/>
      <c r="B45" s="26" t="s">
        <v>88</v>
      </c>
      <c r="C45" s="26"/>
      <c r="D45" s="26"/>
      <c r="E45" s="27">
        <f t="shared" ref="E45:AI45" si="3">IF(E$3="","",COUNTIF(E5:E44,"P")+COUNTIF(E5:E44,"H")+COUNT(E5:E44))</f>
        <v>0</v>
      </c>
      <c r="F45" s="27">
        <f t="shared" si="3"/>
        <v>0</v>
      </c>
      <c r="G45" s="27">
        <f t="shared" si="3"/>
        <v>0</v>
      </c>
      <c r="H45" s="27">
        <f t="shared" si="3"/>
        <v>0</v>
      </c>
      <c r="I45" s="27">
        <f t="shared" si="3"/>
        <v>0</v>
      </c>
      <c r="J45" s="27">
        <f t="shared" si="3"/>
        <v>0</v>
      </c>
      <c r="K45" s="27">
        <f t="shared" si="3"/>
        <v>0</v>
      </c>
      <c r="L45" s="27">
        <f t="shared" si="3"/>
        <v>0</v>
      </c>
      <c r="M45" s="27">
        <f t="shared" si="3"/>
        <v>0</v>
      </c>
      <c r="N45" s="27">
        <f t="shared" si="3"/>
        <v>0</v>
      </c>
      <c r="O45" s="27">
        <f t="shared" si="3"/>
        <v>0</v>
      </c>
      <c r="P45" s="27">
        <f t="shared" si="3"/>
        <v>0</v>
      </c>
      <c r="Q45" s="27">
        <f t="shared" si="3"/>
        <v>0</v>
      </c>
      <c r="R45" s="27">
        <f t="shared" si="3"/>
        <v>0</v>
      </c>
      <c r="S45" s="27">
        <f t="shared" si="3"/>
        <v>0</v>
      </c>
      <c r="T45" s="27">
        <f t="shared" si="3"/>
        <v>0</v>
      </c>
      <c r="U45" s="27">
        <f t="shared" si="3"/>
        <v>0</v>
      </c>
      <c r="V45" s="27">
        <f t="shared" si="3"/>
        <v>0</v>
      </c>
      <c r="W45" s="27">
        <f t="shared" si="3"/>
        <v>0</v>
      </c>
      <c r="X45" s="27">
        <f t="shared" si="3"/>
        <v>0</v>
      </c>
      <c r="Y45" s="27">
        <f t="shared" si="3"/>
        <v>0</v>
      </c>
      <c r="Z45" s="27">
        <f t="shared" si="3"/>
        <v>0</v>
      </c>
      <c r="AA45" s="27">
        <f t="shared" si="3"/>
        <v>0</v>
      </c>
      <c r="AB45" s="27">
        <f t="shared" si="3"/>
        <v>0</v>
      </c>
      <c r="AC45" s="27">
        <f t="shared" si="3"/>
        <v>0</v>
      </c>
      <c r="AD45" s="27">
        <f t="shared" si="3"/>
        <v>0</v>
      </c>
      <c r="AE45" s="27">
        <f t="shared" si="3"/>
        <v>0</v>
      </c>
      <c r="AF45" s="27">
        <f t="shared" si="3"/>
        <v>0</v>
      </c>
      <c r="AG45" s="27">
        <f t="shared" si="3"/>
        <v>0</v>
      </c>
      <c r="AH45" s="27">
        <f t="shared" si="3"/>
        <v>0</v>
      </c>
      <c r="AI45" s="27">
        <f t="shared" si="3"/>
        <v>0</v>
      </c>
      <c r="AJ45" s="28">
        <f>SUM(AJ5:AJ44)</f>
        <v>0</v>
      </c>
      <c r="AK45" s="28">
        <f>SUM(AK5:AK44)</f>
        <v>0</v>
      </c>
      <c r="AL45" s="29">
        <f>SUM(AL5:AL44)</f>
        <v>0</v>
      </c>
      <c r="AM45" s="29">
        <f>SUM(AM5:AM44)</f>
        <v>0</v>
      </c>
      <c r="AN45" s="29">
        <f>SUM(AN5:AN44)</f>
        <v>0</v>
      </c>
    </row>
  </sheetData>
  <conditionalFormatting sqref="E3:AI3">
    <cfRule type="expression" dxfId="69" priority="2">
      <formula>E$3="Sun"</formula>
    </cfRule>
  </conditionalFormatting>
  <conditionalFormatting sqref="E3:AI45">
    <cfRule type="expression" dxfId="68" priority="1">
      <formula>E$3=""</formula>
    </cfRule>
  </conditionalFormatting>
  <conditionalFormatting sqref="E5:AI44">
    <cfRule type="expression" dxfId="67" priority="6">
      <formula>E5="A"</formula>
    </cfRule>
    <cfRule type="expression" dxfId="66" priority="7">
      <formula>E5="H"</formula>
    </cfRule>
    <cfRule type="expression" dxfId="65" priority="8">
      <formula>ISNUMBER(E5)</formula>
    </cfRule>
  </conditionalFormatting>
  <conditionalFormatting sqref="E5:AI45">
    <cfRule type="expression" dxfId="64" priority="4">
      <formula>E$3="Sun"</formula>
    </cfRule>
  </conditionalFormatting>
  <conditionalFormatting sqref="AN5:AN44">
    <cfRule type="expression" dxfId="63" priority="9">
      <formula>AN5&lt;0</formula>
    </cfRule>
  </conditionalFormatting>
  <dataValidations count="1">
    <dataValidation type="custom" allowBlank="1" showErrorMessage="1" errorTitle="Attendance code" error="Type P, H, A, L, or the number of overtime hours (0 to 12). Shaded days do not exist in this month." sqref="E5:AI44" xr:uid="{00000000-0002-0000-0500-000000000000}">
      <formula1>AND(E$3&lt;&gt;"",OR(E5="P",E5="H",E5="A",E5="L",AND(ISNUMBER(E5),E5&gt;=0,E5&lt;=12)))</formula1>
    </dataValidation>
  </dataValidations>
  <printOptions horizontalCentered="1"/>
  <pageMargins left="0.45" right="0.45" top="0.6" bottom="0.6" header="0.3" footer="0.3"/>
  <pageSetup paperSize="9" scale="66" orientation="landscape" r:id="rId1"/>
  <headerFooter>
    <oddFooter>&amp;L&amp;8Free from NirmanDost - nirmandost.in - sign up for more free tools&amp;R&amp;8Page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N45"/>
  <sheetViews>
    <sheetView showGridLines="0" workbookViewId="0">
      <pane xSplit="4" ySplit="4" topLeftCell="E5" activePane="bottomRight" state="frozen"/>
      <selection pane="topRight"/>
      <selection pane="bottomLeft"/>
      <selection pane="bottomRight"/>
    </sheetView>
  </sheetViews>
  <sheetFormatPr defaultRowHeight="14.4" x14ac:dyDescent="0.3"/>
  <cols>
    <col min="1" max="1" width="7" customWidth="1"/>
    <col min="2" max="2" width="24" customWidth="1"/>
    <col min="3" max="3" width="11" customWidth="1"/>
    <col min="4" max="4" width="9" customWidth="1"/>
    <col min="5" max="35" width="3.5546875" customWidth="1"/>
    <col min="36" max="37" width="6.44140625" customWidth="1"/>
    <col min="38" max="38" width="12" customWidth="1"/>
    <col min="39" max="40" width="11" customWidth="1"/>
  </cols>
  <sheetData>
    <row r="1" spans="1:40" ht="17.399999999999999" x14ac:dyDescent="0.3">
      <c r="A1" s="18" t="str">
        <f>"Attendance - "&amp;TEXT(DATE(Setup!$B$4,4,1),"mmmm yyyy")&amp;"   "&amp;Setup!$B$5</f>
        <v>Attendance - April 2026   Type the site name</v>
      </c>
    </row>
    <row r="2" spans="1:40" x14ac:dyDescent="0.3">
      <c r="A2" s="19" t="s">
        <v>49</v>
      </c>
    </row>
    <row r="3" spans="1:40" x14ac:dyDescent="0.3">
      <c r="E3" s="20" t="str">
        <f>IF(1&gt;DAY(EOMONTH(DATE(Setup!$B$4,4,1),0)),"",TEXT(DATE(Setup!$B$4,4,1),"ddd"))</f>
        <v>Wed</v>
      </c>
      <c r="F3" s="20" t="str">
        <f>IF(2&gt;DAY(EOMONTH(DATE(Setup!$B$4,4,1),0)),"",TEXT(DATE(Setup!$B$4,4,2),"ddd"))</f>
        <v>Thu</v>
      </c>
      <c r="G3" s="20" t="str">
        <f>IF(3&gt;DAY(EOMONTH(DATE(Setup!$B$4,4,1),0)),"",TEXT(DATE(Setup!$B$4,4,3),"ddd"))</f>
        <v>Fri</v>
      </c>
      <c r="H3" s="20" t="str">
        <f>IF(4&gt;DAY(EOMONTH(DATE(Setup!$B$4,4,1),0)),"",TEXT(DATE(Setup!$B$4,4,4),"ddd"))</f>
        <v>Sat</v>
      </c>
      <c r="I3" s="20" t="str">
        <f>IF(5&gt;DAY(EOMONTH(DATE(Setup!$B$4,4,1),0)),"",TEXT(DATE(Setup!$B$4,4,5),"ddd"))</f>
        <v>Sun</v>
      </c>
      <c r="J3" s="20" t="str">
        <f>IF(6&gt;DAY(EOMONTH(DATE(Setup!$B$4,4,1),0)),"",TEXT(DATE(Setup!$B$4,4,6),"ddd"))</f>
        <v>Mon</v>
      </c>
      <c r="K3" s="20" t="str">
        <f>IF(7&gt;DAY(EOMONTH(DATE(Setup!$B$4,4,1),0)),"",TEXT(DATE(Setup!$B$4,4,7),"ddd"))</f>
        <v>Tue</v>
      </c>
      <c r="L3" s="20" t="str">
        <f>IF(8&gt;DAY(EOMONTH(DATE(Setup!$B$4,4,1),0)),"",TEXT(DATE(Setup!$B$4,4,8),"ddd"))</f>
        <v>Wed</v>
      </c>
      <c r="M3" s="20" t="str">
        <f>IF(9&gt;DAY(EOMONTH(DATE(Setup!$B$4,4,1),0)),"",TEXT(DATE(Setup!$B$4,4,9),"ddd"))</f>
        <v>Thu</v>
      </c>
      <c r="N3" s="20" t="str">
        <f>IF(10&gt;DAY(EOMONTH(DATE(Setup!$B$4,4,1),0)),"",TEXT(DATE(Setup!$B$4,4,10),"ddd"))</f>
        <v>Fri</v>
      </c>
      <c r="O3" s="20" t="str">
        <f>IF(11&gt;DAY(EOMONTH(DATE(Setup!$B$4,4,1),0)),"",TEXT(DATE(Setup!$B$4,4,11),"ddd"))</f>
        <v>Sat</v>
      </c>
      <c r="P3" s="20" t="str">
        <f>IF(12&gt;DAY(EOMONTH(DATE(Setup!$B$4,4,1),0)),"",TEXT(DATE(Setup!$B$4,4,12),"ddd"))</f>
        <v>Sun</v>
      </c>
      <c r="Q3" s="20" t="str">
        <f>IF(13&gt;DAY(EOMONTH(DATE(Setup!$B$4,4,1),0)),"",TEXT(DATE(Setup!$B$4,4,13),"ddd"))</f>
        <v>Mon</v>
      </c>
      <c r="R3" s="20" t="str">
        <f>IF(14&gt;DAY(EOMONTH(DATE(Setup!$B$4,4,1),0)),"",TEXT(DATE(Setup!$B$4,4,14),"ddd"))</f>
        <v>Tue</v>
      </c>
      <c r="S3" s="20" t="str">
        <f>IF(15&gt;DAY(EOMONTH(DATE(Setup!$B$4,4,1),0)),"",TEXT(DATE(Setup!$B$4,4,15),"ddd"))</f>
        <v>Wed</v>
      </c>
      <c r="T3" s="20" t="str">
        <f>IF(16&gt;DAY(EOMONTH(DATE(Setup!$B$4,4,1),0)),"",TEXT(DATE(Setup!$B$4,4,16),"ddd"))</f>
        <v>Thu</v>
      </c>
      <c r="U3" s="20" t="str">
        <f>IF(17&gt;DAY(EOMONTH(DATE(Setup!$B$4,4,1),0)),"",TEXT(DATE(Setup!$B$4,4,17),"ddd"))</f>
        <v>Fri</v>
      </c>
      <c r="V3" s="20" t="str">
        <f>IF(18&gt;DAY(EOMONTH(DATE(Setup!$B$4,4,1),0)),"",TEXT(DATE(Setup!$B$4,4,18),"ddd"))</f>
        <v>Sat</v>
      </c>
      <c r="W3" s="20" t="str">
        <f>IF(19&gt;DAY(EOMONTH(DATE(Setup!$B$4,4,1),0)),"",TEXT(DATE(Setup!$B$4,4,19),"ddd"))</f>
        <v>Sun</v>
      </c>
      <c r="X3" s="20" t="str">
        <f>IF(20&gt;DAY(EOMONTH(DATE(Setup!$B$4,4,1),0)),"",TEXT(DATE(Setup!$B$4,4,20),"ddd"))</f>
        <v>Mon</v>
      </c>
      <c r="Y3" s="20" t="str">
        <f>IF(21&gt;DAY(EOMONTH(DATE(Setup!$B$4,4,1),0)),"",TEXT(DATE(Setup!$B$4,4,21),"ddd"))</f>
        <v>Tue</v>
      </c>
      <c r="Z3" s="20" t="str">
        <f>IF(22&gt;DAY(EOMONTH(DATE(Setup!$B$4,4,1),0)),"",TEXT(DATE(Setup!$B$4,4,22),"ddd"))</f>
        <v>Wed</v>
      </c>
      <c r="AA3" s="20" t="str">
        <f>IF(23&gt;DAY(EOMONTH(DATE(Setup!$B$4,4,1),0)),"",TEXT(DATE(Setup!$B$4,4,23),"ddd"))</f>
        <v>Thu</v>
      </c>
      <c r="AB3" s="20" t="str">
        <f>IF(24&gt;DAY(EOMONTH(DATE(Setup!$B$4,4,1),0)),"",TEXT(DATE(Setup!$B$4,4,24),"ddd"))</f>
        <v>Fri</v>
      </c>
      <c r="AC3" s="20" t="str">
        <f>IF(25&gt;DAY(EOMONTH(DATE(Setup!$B$4,4,1),0)),"",TEXT(DATE(Setup!$B$4,4,25),"ddd"))</f>
        <v>Sat</v>
      </c>
      <c r="AD3" s="20" t="str">
        <f>IF(26&gt;DAY(EOMONTH(DATE(Setup!$B$4,4,1),0)),"",TEXT(DATE(Setup!$B$4,4,26),"ddd"))</f>
        <v>Sun</v>
      </c>
      <c r="AE3" s="20" t="str">
        <f>IF(27&gt;DAY(EOMONTH(DATE(Setup!$B$4,4,1),0)),"",TEXT(DATE(Setup!$B$4,4,27),"ddd"))</f>
        <v>Mon</v>
      </c>
      <c r="AF3" s="20" t="str">
        <f>IF(28&gt;DAY(EOMONTH(DATE(Setup!$B$4,4,1),0)),"",TEXT(DATE(Setup!$B$4,4,28),"ddd"))</f>
        <v>Tue</v>
      </c>
      <c r="AG3" s="20" t="str">
        <f>IF(29&gt;DAY(EOMONTH(DATE(Setup!$B$4,4,1),0)),"",TEXT(DATE(Setup!$B$4,4,29),"ddd"))</f>
        <v>Wed</v>
      </c>
      <c r="AH3" s="20" t="str">
        <f>IF(30&gt;DAY(EOMONTH(DATE(Setup!$B$4,4,1),0)),"",TEXT(DATE(Setup!$B$4,4,30),"ddd"))</f>
        <v>Thu</v>
      </c>
      <c r="AI3" s="20" t="str">
        <f>IF(31&gt;DAY(EOMONTH(DATE(Setup!$B$4,4,1),0)),"",TEXT(DATE(Setup!$B$4,4,31),"ddd"))</f>
        <v/>
      </c>
    </row>
    <row r="4" spans="1:40" ht="28.05" customHeight="1" x14ac:dyDescent="0.3">
      <c r="A4" s="13" t="s">
        <v>50</v>
      </c>
      <c r="B4" s="13" t="s">
        <v>37</v>
      </c>
      <c r="C4" s="13" t="s">
        <v>38</v>
      </c>
      <c r="D4" s="13" t="s">
        <v>51</v>
      </c>
      <c r="E4" s="13" t="s">
        <v>52</v>
      </c>
      <c r="F4" s="13" t="s">
        <v>53</v>
      </c>
      <c r="G4" s="13" t="s">
        <v>54</v>
      </c>
      <c r="H4" s="13" t="s">
        <v>55</v>
      </c>
      <c r="I4" s="13" t="s">
        <v>56</v>
      </c>
      <c r="J4" s="13" t="s">
        <v>57</v>
      </c>
      <c r="K4" s="13" t="s">
        <v>58</v>
      </c>
      <c r="L4" s="13" t="s">
        <v>59</v>
      </c>
      <c r="M4" s="13" t="s">
        <v>60</v>
      </c>
      <c r="N4" s="13" t="s">
        <v>61</v>
      </c>
      <c r="O4" s="13" t="s">
        <v>62</v>
      </c>
      <c r="P4" s="13" t="s">
        <v>63</v>
      </c>
      <c r="Q4" s="13" t="s">
        <v>64</v>
      </c>
      <c r="R4" s="13" t="s">
        <v>65</v>
      </c>
      <c r="S4" s="13" t="s">
        <v>66</v>
      </c>
      <c r="T4" s="13" t="s">
        <v>67</v>
      </c>
      <c r="U4" s="13" t="s">
        <v>68</v>
      </c>
      <c r="V4" s="13" t="s">
        <v>69</v>
      </c>
      <c r="W4" s="13" t="s">
        <v>70</v>
      </c>
      <c r="X4" s="13" t="s">
        <v>71</v>
      </c>
      <c r="Y4" s="13" t="s">
        <v>72</v>
      </c>
      <c r="Z4" s="13" t="s">
        <v>73</v>
      </c>
      <c r="AA4" s="13" t="s">
        <v>74</v>
      </c>
      <c r="AB4" s="13" t="s">
        <v>75</v>
      </c>
      <c r="AC4" s="13" t="s">
        <v>76</v>
      </c>
      <c r="AD4" s="13" t="s">
        <v>77</v>
      </c>
      <c r="AE4" s="13" t="s">
        <v>78</v>
      </c>
      <c r="AF4" s="13" t="s">
        <v>79</v>
      </c>
      <c r="AG4" s="13" t="s">
        <v>80</v>
      </c>
      <c r="AH4" s="13" t="s">
        <v>81</v>
      </c>
      <c r="AI4" s="13" t="s">
        <v>82</v>
      </c>
      <c r="AJ4" s="13" t="s">
        <v>83</v>
      </c>
      <c r="AK4" s="13" t="s">
        <v>84</v>
      </c>
      <c r="AL4" s="13" t="s">
        <v>85</v>
      </c>
      <c r="AM4" s="13" t="s">
        <v>86</v>
      </c>
      <c r="AN4" s="13" t="s">
        <v>87</v>
      </c>
    </row>
    <row r="5" spans="1:40" x14ac:dyDescent="0.3">
      <c r="A5" s="14" t="str">
        <f>IF(INDEX(Workers!$B:$B,ROW())="","",INDEX(Workers!$B:$B,ROW()))</f>
        <v>W-01</v>
      </c>
      <c r="B5" s="21" t="str">
        <f>IF(INDEX(Workers!$C:$C,ROW())="","",INDEX(Workers!$C:$C,ROW()))</f>
        <v>Ramesh (EXAMPLE, clear me)</v>
      </c>
      <c r="C5" s="21" t="str">
        <f>IF(INDEX(Workers!$D:$D,ROW())="","",INDEX(Workers!$D:$D,ROW()))</f>
        <v>Mason</v>
      </c>
      <c r="D5" s="22">
        <f>IF(INDEX(Workers!$E:$E,ROW())="","",INDEX(Workers!$E:$E,ROW()))</f>
        <v>900</v>
      </c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4">
        <f t="shared" ref="AJ5:AJ44" si="0">IF(B5="","",SUMPRODUCT((E$3:AI$3&lt;&gt;"")*(E5:AI5="P"))+0.5*SUMPRODUCT((E$3:AI$3&lt;&gt;"")*(E5:AI5="H"))+SUMPRODUCT((E$3:AI$3&lt;&gt;"")*ISNUMBER(E5:AI5)))</f>
        <v>0</v>
      </c>
      <c r="AK5" s="24">
        <f t="shared" ref="AK5:AK44" si="1">IF(B5="","",SUMPRODUCT((E$3:AI$3&lt;&gt;"")*ISNUMBER(E5:AI5),E5:AI5))</f>
        <v>0</v>
      </c>
      <c r="AL5" s="25">
        <f>IF(B5="","",AJ5*N(D5)+AK5*N(D5)/Setup!$B$6*Setup!$B$7)</f>
        <v>0</v>
      </c>
      <c r="AM5" s="25">
        <f>IF(B5="","",SUMIFS(Payments!$D$5:$D$304,Payments!$B$5:$B$304,A5,Payments!$A$5:$A$304,"&gt;="&amp;DATE(Setup!$B$4,4,1),Payments!$A$5:$A$304,"&lt;="&amp;EOMONTH(DATE(Setup!$B$4,4,1),0)))</f>
        <v>0</v>
      </c>
      <c r="AN5" s="25">
        <f t="shared" ref="AN5:AN44" si="2">IF(B5="","",AL5-AM5)</f>
        <v>0</v>
      </c>
    </row>
    <row r="6" spans="1:40" x14ac:dyDescent="0.3">
      <c r="A6" s="14" t="str">
        <f>IF(INDEX(Workers!$B:$B,ROW())="","",INDEX(Workers!$B:$B,ROW()))</f>
        <v/>
      </c>
      <c r="B6" s="21" t="str">
        <f>IF(INDEX(Workers!$C:$C,ROW())="","",INDEX(Workers!$C:$C,ROW()))</f>
        <v/>
      </c>
      <c r="C6" s="21" t="str">
        <f>IF(INDEX(Workers!$D:$D,ROW())="","",INDEX(Workers!$D:$D,ROW()))</f>
        <v/>
      </c>
      <c r="D6" s="22" t="str">
        <f>IF(INDEX(Workers!$E:$E,ROW())="","",INDEX(Workers!$E:$E,ROW()))</f>
        <v/>
      </c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4" t="str">
        <f t="shared" si="0"/>
        <v/>
      </c>
      <c r="AK6" s="24" t="str">
        <f t="shared" si="1"/>
        <v/>
      </c>
      <c r="AL6" s="25" t="str">
        <f>IF(B6="","",AJ6*N(D6)+AK6*N(D6)/Setup!$B$6*Setup!$B$7)</f>
        <v/>
      </c>
      <c r="AM6" s="25" t="str">
        <f>IF(B6="","",SUMIFS(Payments!$D$5:$D$304,Payments!$B$5:$B$304,A6,Payments!$A$5:$A$304,"&gt;="&amp;DATE(Setup!$B$4,4,1),Payments!$A$5:$A$304,"&lt;="&amp;EOMONTH(DATE(Setup!$B$4,4,1),0)))</f>
        <v/>
      </c>
      <c r="AN6" s="25" t="str">
        <f t="shared" si="2"/>
        <v/>
      </c>
    </row>
    <row r="7" spans="1:40" x14ac:dyDescent="0.3">
      <c r="A7" s="14" t="str">
        <f>IF(INDEX(Workers!$B:$B,ROW())="","",INDEX(Workers!$B:$B,ROW()))</f>
        <v/>
      </c>
      <c r="B7" s="21" t="str">
        <f>IF(INDEX(Workers!$C:$C,ROW())="","",INDEX(Workers!$C:$C,ROW()))</f>
        <v/>
      </c>
      <c r="C7" s="21" t="str">
        <f>IF(INDEX(Workers!$D:$D,ROW())="","",INDEX(Workers!$D:$D,ROW()))</f>
        <v/>
      </c>
      <c r="D7" s="22" t="str">
        <f>IF(INDEX(Workers!$E:$E,ROW())="","",INDEX(Workers!$E:$E,ROW()))</f>
        <v/>
      </c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4" t="str">
        <f t="shared" si="0"/>
        <v/>
      </c>
      <c r="AK7" s="24" t="str">
        <f t="shared" si="1"/>
        <v/>
      </c>
      <c r="AL7" s="25" t="str">
        <f>IF(B7="","",AJ7*N(D7)+AK7*N(D7)/Setup!$B$6*Setup!$B$7)</f>
        <v/>
      </c>
      <c r="AM7" s="25" t="str">
        <f>IF(B7="","",SUMIFS(Payments!$D$5:$D$304,Payments!$B$5:$B$304,A7,Payments!$A$5:$A$304,"&gt;="&amp;DATE(Setup!$B$4,4,1),Payments!$A$5:$A$304,"&lt;="&amp;EOMONTH(DATE(Setup!$B$4,4,1),0)))</f>
        <v/>
      </c>
      <c r="AN7" s="25" t="str">
        <f t="shared" si="2"/>
        <v/>
      </c>
    </row>
    <row r="8" spans="1:40" x14ac:dyDescent="0.3">
      <c r="A8" s="14" t="str">
        <f>IF(INDEX(Workers!$B:$B,ROW())="","",INDEX(Workers!$B:$B,ROW()))</f>
        <v/>
      </c>
      <c r="B8" s="21" t="str">
        <f>IF(INDEX(Workers!$C:$C,ROW())="","",INDEX(Workers!$C:$C,ROW()))</f>
        <v/>
      </c>
      <c r="C8" s="21" t="str">
        <f>IF(INDEX(Workers!$D:$D,ROW())="","",INDEX(Workers!$D:$D,ROW()))</f>
        <v/>
      </c>
      <c r="D8" s="22" t="str">
        <f>IF(INDEX(Workers!$E:$E,ROW())="","",INDEX(Workers!$E:$E,ROW()))</f>
        <v/>
      </c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4" t="str">
        <f t="shared" si="0"/>
        <v/>
      </c>
      <c r="AK8" s="24" t="str">
        <f t="shared" si="1"/>
        <v/>
      </c>
      <c r="AL8" s="25" t="str">
        <f>IF(B8="","",AJ8*N(D8)+AK8*N(D8)/Setup!$B$6*Setup!$B$7)</f>
        <v/>
      </c>
      <c r="AM8" s="25" t="str">
        <f>IF(B8="","",SUMIFS(Payments!$D$5:$D$304,Payments!$B$5:$B$304,A8,Payments!$A$5:$A$304,"&gt;="&amp;DATE(Setup!$B$4,4,1),Payments!$A$5:$A$304,"&lt;="&amp;EOMONTH(DATE(Setup!$B$4,4,1),0)))</f>
        <v/>
      </c>
      <c r="AN8" s="25" t="str">
        <f t="shared" si="2"/>
        <v/>
      </c>
    </row>
    <row r="9" spans="1:40" x14ac:dyDescent="0.3">
      <c r="A9" s="14" t="str">
        <f>IF(INDEX(Workers!$B:$B,ROW())="","",INDEX(Workers!$B:$B,ROW()))</f>
        <v/>
      </c>
      <c r="B9" s="21" t="str">
        <f>IF(INDEX(Workers!$C:$C,ROW())="","",INDEX(Workers!$C:$C,ROW()))</f>
        <v/>
      </c>
      <c r="C9" s="21" t="str">
        <f>IF(INDEX(Workers!$D:$D,ROW())="","",INDEX(Workers!$D:$D,ROW()))</f>
        <v/>
      </c>
      <c r="D9" s="22" t="str">
        <f>IF(INDEX(Workers!$E:$E,ROW())="","",INDEX(Workers!$E:$E,ROW()))</f>
        <v/>
      </c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4" t="str">
        <f t="shared" si="0"/>
        <v/>
      </c>
      <c r="AK9" s="24" t="str">
        <f t="shared" si="1"/>
        <v/>
      </c>
      <c r="AL9" s="25" t="str">
        <f>IF(B9="","",AJ9*N(D9)+AK9*N(D9)/Setup!$B$6*Setup!$B$7)</f>
        <v/>
      </c>
      <c r="AM9" s="25" t="str">
        <f>IF(B9="","",SUMIFS(Payments!$D$5:$D$304,Payments!$B$5:$B$304,A9,Payments!$A$5:$A$304,"&gt;="&amp;DATE(Setup!$B$4,4,1),Payments!$A$5:$A$304,"&lt;="&amp;EOMONTH(DATE(Setup!$B$4,4,1),0)))</f>
        <v/>
      </c>
      <c r="AN9" s="25" t="str">
        <f t="shared" si="2"/>
        <v/>
      </c>
    </row>
    <row r="10" spans="1:40" x14ac:dyDescent="0.3">
      <c r="A10" s="14" t="str">
        <f>IF(INDEX(Workers!$B:$B,ROW())="","",INDEX(Workers!$B:$B,ROW()))</f>
        <v/>
      </c>
      <c r="B10" s="21" t="str">
        <f>IF(INDEX(Workers!$C:$C,ROW())="","",INDEX(Workers!$C:$C,ROW()))</f>
        <v/>
      </c>
      <c r="C10" s="21" t="str">
        <f>IF(INDEX(Workers!$D:$D,ROW())="","",INDEX(Workers!$D:$D,ROW()))</f>
        <v/>
      </c>
      <c r="D10" s="22" t="str">
        <f>IF(INDEX(Workers!$E:$E,ROW())="","",INDEX(Workers!$E:$E,ROW()))</f>
        <v/>
      </c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4" t="str">
        <f t="shared" si="0"/>
        <v/>
      </c>
      <c r="AK10" s="24" t="str">
        <f t="shared" si="1"/>
        <v/>
      </c>
      <c r="AL10" s="25" t="str">
        <f>IF(B10="","",AJ10*N(D10)+AK10*N(D10)/Setup!$B$6*Setup!$B$7)</f>
        <v/>
      </c>
      <c r="AM10" s="25" t="str">
        <f>IF(B10="","",SUMIFS(Payments!$D$5:$D$304,Payments!$B$5:$B$304,A10,Payments!$A$5:$A$304,"&gt;="&amp;DATE(Setup!$B$4,4,1),Payments!$A$5:$A$304,"&lt;="&amp;EOMONTH(DATE(Setup!$B$4,4,1),0)))</f>
        <v/>
      </c>
      <c r="AN10" s="25" t="str">
        <f t="shared" si="2"/>
        <v/>
      </c>
    </row>
    <row r="11" spans="1:40" x14ac:dyDescent="0.3">
      <c r="A11" s="14" t="str">
        <f>IF(INDEX(Workers!$B:$B,ROW())="","",INDEX(Workers!$B:$B,ROW()))</f>
        <v/>
      </c>
      <c r="B11" s="21" t="str">
        <f>IF(INDEX(Workers!$C:$C,ROW())="","",INDEX(Workers!$C:$C,ROW()))</f>
        <v/>
      </c>
      <c r="C11" s="21" t="str">
        <f>IF(INDEX(Workers!$D:$D,ROW())="","",INDEX(Workers!$D:$D,ROW()))</f>
        <v/>
      </c>
      <c r="D11" s="22" t="str">
        <f>IF(INDEX(Workers!$E:$E,ROW())="","",INDEX(Workers!$E:$E,ROW()))</f>
        <v/>
      </c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4" t="str">
        <f t="shared" si="0"/>
        <v/>
      </c>
      <c r="AK11" s="24" t="str">
        <f t="shared" si="1"/>
        <v/>
      </c>
      <c r="AL11" s="25" t="str">
        <f>IF(B11="","",AJ11*N(D11)+AK11*N(D11)/Setup!$B$6*Setup!$B$7)</f>
        <v/>
      </c>
      <c r="AM11" s="25" t="str">
        <f>IF(B11="","",SUMIFS(Payments!$D$5:$D$304,Payments!$B$5:$B$304,A11,Payments!$A$5:$A$304,"&gt;="&amp;DATE(Setup!$B$4,4,1),Payments!$A$5:$A$304,"&lt;="&amp;EOMONTH(DATE(Setup!$B$4,4,1),0)))</f>
        <v/>
      </c>
      <c r="AN11" s="25" t="str">
        <f t="shared" si="2"/>
        <v/>
      </c>
    </row>
    <row r="12" spans="1:40" x14ac:dyDescent="0.3">
      <c r="A12" s="14" t="str">
        <f>IF(INDEX(Workers!$B:$B,ROW())="","",INDEX(Workers!$B:$B,ROW()))</f>
        <v/>
      </c>
      <c r="B12" s="21" t="str">
        <f>IF(INDEX(Workers!$C:$C,ROW())="","",INDEX(Workers!$C:$C,ROW()))</f>
        <v/>
      </c>
      <c r="C12" s="21" t="str">
        <f>IF(INDEX(Workers!$D:$D,ROW())="","",INDEX(Workers!$D:$D,ROW()))</f>
        <v/>
      </c>
      <c r="D12" s="22" t="str">
        <f>IF(INDEX(Workers!$E:$E,ROW())="","",INDEX(Workers!$E:$E,ROW()))</f>
        <v/>
      </c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4" t="str">
        <f t="shared" si="0"/>
        <v/>
      </c>
      <c r="AK12" s="24" t="str">
        <f t="shared" si="1"/>
        <v/>
      </c>
      <c r="AL12" s="25" t="str">
        <f>IF(B12="","",AJ12*N(D12)+AK12*N(D12)/Setup!$B$6*Setup!$B$7)</f>
        <v/>
      </c>
      <c r="AM12" s="25" t="str">
        <f>IF(B12="","",SUMIFS(Payments!$D$5:$D$304,Payments!$B$5:$B$304,A12,Payments!$A$5:$A$304,"&gt;="&amp;DATE(Setup!$B$4,4,1),Payments!$A$5:$A$304,"&lt;="&amp;EOMONTH(DATE(Setup!$B$4,4,1),0)))</f>
        <v/>
      </c>
      <c r="AN12" s="25" t="str">
        <f t="shared" si="2"/>
        <v/>
      </c>
    </row>
    <row r="13" spans="1:40" x14ac:dyDescent="0.3">
      <c r="A13" s="14" t="str">
        <f>IF(INDEX(Workers!$B:$B,ROW())="","",INDEX(Workers!$B:$B,ROW()))</f>
        <v/>
      </c>
      <c r="B13" s="21" t="str">
        <f>IF(INDEX(Workers!$C:$C,ROW())="","",INDEX(Workers!$C:$C,ROW()))</f>
        <v/>
      </c>
      <c r="C13" s="21" t="str">
        <f>IF(INDEX(Workers!$D:$D,ROW())="","",INDEX(Workers!$D:$D,ROW()))</f>
        <v/>
      </c>
      <c r="D13" s="22" t="str">
        <f>IF(INDEX(Workers!$E:$E,ROW())="","",INDEX(Workers!$E:$E,ROW()))</f>
        <v/>
      </c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4" t="str">
        <f t="shared" si="0"/>
        <v/>
      </c>
      <c r="AK13" s="24" t="str">
        <f t="shared" si="1"/>
        <v/>
      </c>
      <c r="AL13" s="25" t="str">
        <f>IF(B13="","",AJ13*N(D13)+AK13*N(D13)/Setup!$B$6*Setup!$B$7)</f>
        <v/>
      </c>
      <c r="AM13" s="25" t="str">
        <f>IF(B13="","",SUMIFS(Payments!$D$5:$D$304,Payments!$B$5:$B$304,A13,Payments!$A$5:$A$304,"&gt;="&amp;DATE(Setup!$B$4,4,1),Payments!$A$5:$A$304,"&lt;="&amp;EOMONTH(DATE(Setup!$B$4,4,1),0)))</f>
        <v/>
      </c>
      <c r="AN13" s="25" t="str">
        <f t="shared" si="2"/>
        <v/>
      </c>
    </row>
    <row r="14" spans="1:40" x14ac:dyDescent="0.3">
      <c r="A14" s="14" t="str">
        <f>IF(INDEX(Workers!$B:$B,ROW())="","",INDEX(Workers!$B:$B,ROW()))</f>
        <v/>
      </c>
      <c r="B14" s="21" t="str">
        <f>IF(INDEX(Workers!$C:$C,ROW())="","",INDEX(Workers!$C:$C,ROW()))</f>
        <v/>
      </c>
      <c r="C14" s="21" t="str">
        <f>IF(INDEX(Workers!$D:$D,ROW())="","",INDEX(Workers!$D:$D,ROW()))</f>
        <v/>
      </c>
      <c r="D14" s="22" t="str">
        <f>IF(INDEX(Workers!$E:$E,ROW())="","",INDEX(Workers!$E:$E,ROW()))</f>
        <v/>
      </c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4" t="str">
        <f t="shared" si="0"/>
        <v/>
      </c>
      <c r="AK14" s="24" t="str">
        <f t="shared" si="1"/>
        <v/>
      </c>
      <c r="AL14" s="25" t="str">
        <f>IF(B14="","",AJ14*N(D14)+AK14*N(D14)/Setup!$B$6*Setup!$B$7)</f>
        <v/>
      </c>
      <c r="AM14" s="25" t="str">
        <f>IF(B14="","",SUMIFS(Payments!$D$5:$D$304,Payments!$B$5:$B$304,A14,Payments!$A$5:$A$304,"&gt;="&amp;DATE(Setup!$B$4,4,1),Payments!$A$5:$A$304,"&lt;="&amp;EOMONTH(DATE(Setup!$B$4,4,1),0)))</f>
        <v/>
      </c>
      <c r="AN14" s="25" t="str">
        <f t="shared" si="2"/>
        <v/>
      </c>
    </row>
    <row r="15" spans="1:40" x14ac:dyDescent="0.3">
      <c r="A15" s="14" t="str">
        <f>IF(INDEX(Workers!$B:$B,ROW())="","",INDEX(Workers!$B:$B,ROW()))</f>
        <v/>
      </c>
      <c r="B15" s="21" t="str">
        <f>IF(INDEX(Workers!$C:$C,ROW())="","",INDEX(Workers!$C:$C,ROW()))</f>
        <v/>
      </c>
      <c r="C15" s="21" t="str">
        <f>IF(INDEX(Workers!$D:$D,ROW())="","",INDEX(Workers!$D:$D,ROW()))</f>
        <v/>
      </c>
      <c r="D15" s="22" t="str">
        <f>IF(INDEX(Workers!$E:$E,ROW())="","",INDEX(Workers!$E:$E,ROW()))</f>
        <v/>
      </c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4" t="str">
        <f t="shared" si="0"/>
        <v/>
      </c>
      <c r="AK15" s="24" t="str">
        <f t="shared" si="1"/>
        <v/>
      </c>
      <c r="AL15" s="25" t="str">
        <f>IF(B15="","",AJ15*N(D15)+AK15*N(D15)/Setup!$B$6*Setup!$B$7)</f>
        <v/>
      </c>
      <c r="AM15" s="25" t="str">
        <f>IF(B15="","",SUMIFS(Payments!$D$5:$D$304,Payments!$B$5:$B$304,A15,Payments!$A$5:$A$304,"&gt;="&amp;DATE(Setup!$B$4,4,1),Payments!$A$5:$A$304,"&lt;="&amp;EOMONTH(DATE(Setup!$B$4,4,1),0)))</f>
        <v/>
      </c>
      <c r="AN15" s="25" t="str">
        <f t="shared" si="2"/>
        <v/>
      </c>
    </row>
    <row r="16" spans="1:40" x14ac:dyDescent="0.3">
      <c r="A16" s="14" t="str">
        <f>IF(INDEX(Workers!$B:$B,ROW())="","",INDEX(Workers!$B:$B,ROW()))</f>
        <v/>
      </c>
      <c r="B16" s="21" t="str">
        <f>IF(INDEX(Workers!$C:$C,ROW())="","",INDEX(Workers!$C:$C,ROW()))</f>
        <v/>
      </c>
      <c r="C16" s="21" t="str">
        <f>IF(INDEX(Workers!$D:$D,ROW())="","",INDEX(Workers!$D:$D,ROW()))</f>
        <v/>
      </c>
      <c r="D16" s="22" t="str">
        <f>IF(INDEX(Workers!$E:$E,ROW())="","",INDEX(Workers!$E:$E,ROW()))</f>
        <v/>
      </c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4" t="str">
        <f t="shared" si="0"/>
        <v/>
      </c>
      <c r="AK16" s="24" t="str">
        <f t="shared" si="1"/>
        <v/>
      </c>
      <c r="AL16" s="25" t="str">
        <f>IF(B16="","",AJ16*N(D16)+AK16*N(D16)/Setup!$B$6*Setup!$B$7)</f>
        <v/>
      </c>
      <c r="AM16" s="25" t="str">
        <f>IF(B16="","",SUMIFS(Payments!$D$5:$D$304,Payments!$B$5:$B$304,A16,Payments!$A$5:$A$304,"&gt;="&amp;DATE(Setup!$B$4,4,1),Payments!$A$5:$A$304,"&lt;="&amp;EOMONTH(DATE(Setup!$B$4,4,1),0)))</f>
        <v/>
      </c>
      <c r="AN16" s="25" t="str">
        <f t="shared" si="2"/>
        <v/>
      </c>
    </row>
    <row r="17" spans="1:40" x14ac:dyDescent="0.3">
      <c r="A17" s="14" t="str">
        <f>IF(INDEX(Workers!$B:$B,ROW())="","",INDEX(Workers!$B:$B,ROW()))</f>
        <v/>
      </c>
      <c r="B17" s="21" t="str">
        <f>IF(INDEX(Workers!$C:$C,ROW())="","",INDEX(Workers!$C:$C,ROW()))</f>
        <v/>
      </c>
      <c r="C17" s="21" t="str">
        <f>IF(INDEX(Workers!$D:$D,ROW())="","",INDEX(Workers!$D:$D,ROW()))</f>
        <v/>
      </c>
      <c r="D17" s="22" t="str">
        <f>IF(INDEX(Workers!$E:$E,ROW())="","",INDEX(Workers!$E:$E,ROW()))</f>
        <v/>
      </c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4" t="str">
        <f t="shared" si="0"/>
        <v/>
      </c>
      <c r="AK17" s="24" t="str">
        <f t="shared" si="1"/>
        <v/>
      </c>
      <c r="AL17" s="25" t="str">
        <f>IF(B17="","",AJ17*N(D17)+AK17*N(D17)/Setup!$B$6*Setup!$B$7)</f>
        <v/>
      </c>
      <c r="AM17" s="25" t="str">
        <f>IF(B17="","",SUMIFS(Payments!$D$5:$D$304,Payments!$B$5:$B$304,A17,Payments!$A$5:$A$304,"&gt;="&amp;DATE(Setup!$B$4,4,1),Payments!$A$5:$A$304,"&lt;="&amp;EOMONTH(DATE(Setup!$B$4,4,1),0)))</f>
        <v/>
      </c>
      <c r="AN17" s="25" t="str">
        <f t="shared" si="2"/>
        <v/>
      </c>
    </row>
    <row r="18" spans="1:40" x14ac:dyDescent="0.3">
      <c r="A18" s="14" t="str">
        <f>IF(INDEX(Workers!$B:$B,ROW())="","",INDEX(Workers!$B:$B,ROW()))</f>
        <v/>
      </c>
      <c r="B18" s="21" t="str">
        <f>IF(INDEX(Workers!$C:$C,ROW())="","",INDEX(Workers!$C:$C,ROW()))</f>
        <v/>
      </c>
      <c r="C18" s="21" t="str">
        <f>IF(INDEX(Workers!$D:$D,ROW())="","",INDEX(Workers!$D:$D,ROW()))</f>
        <v/>
      </c>
      <c r="D18" s="22" t="str">
        <f>IF(INDEX(Workers!$E:$E,ROW())="","",INDEX(Workers!$E:$E,ROW()))</f>
        <v/>
      </c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4" t="str">
        <f t="shared" si="0"/>
        <v/>
      </c>
      <c r="AK18" s="24" t="str">
        <f t="shared" si="1"/>
        <v/>
      </c>
      <c r="AL18" s="25" t="str">
        <f>IF(B18="","",AJ18*N(D18)+AK18*N(D18)/Setup!$B$6*Setup!$B$7)</f>
        <v/>
      </c>
      <c r="AM18" s="25" t="str">
        <f>IF(B18="","",SUMIFS(Payments!$D$5:$D$304,Payments!$B$5:$B$304,A18,Payments!$A$5:$A$304,"&gt;="&amp;DATE(Setup!$B$4,4,1),Payments!$A$5:$A$304,"&lt;="&amp;EOMONTH(DATE(Setup!$B$4,4,1),0)))</f>
        <v/>
      </c>
      <c r="AN18" s="25" t="str">
        <f t="shared" si="2"/>
        <v/>
      </c>
    </row>
    <row r="19" spans="1:40" x14ac:dyDescent="0.3">
      <c r="A19" s="14" t="str">
        <f>IF(INDEX(Workers!$B:$B,ROW())="","",INDEX(Workers!$B:$B,ROW()))</f>
        <v/>
      </c>
      <c r="B19" s="21" t="str">
        <f>IF(INDEX(Workers!$C:$C,ROW())="","",INDEX(Workers!$C:$C,ROW()))</f>
        <v/>
      </c>
      <c r="C19" s="21" t="str">
        <f>IF(INDEX(Workers!$D:$D,ROW())="","",INDEX(Workers!$D:$D,ROW()))</f>
        <v/>
      </c>
      <c r="D19" s="22" t="str">
        <f>IF(INDEX(Workers!$E:$E,ROW())="","",INDEX(Workers!$E:$E,ROW()))</f>
        <v/>
      </c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4" t="str">
        <f t="shared" si="0"/>
        <v/>
      </c>
      <c r="AK19" s="24" t="str">
        <f t="shared" si="1"/>
        <v/>
      </c>
      <c r="AL19" s="25" t="str">
        <f>IF(B19="","",AJ19*N(D19)+AK19*N(D19)/Setup!$B$6*Setup!$B$7)</f>
        <v/>
      </c>
      <c r="AM19" s="25" t="str">
        <f>IF(B19="","",SUMIFS(Payments!$D$5:$D$304,Payments!$B$5:$B$304,A19,Payments!$A$5:$A$304,"&gt;="&amp;DATE(Setup!$B$4,4,1),Payments!$A$5:$A$304,"&lt;="&amp;EOMONTH(DATE(Setup!$B$4,4,1),0)))</f>
        <v/>
      </c>
      <c r="AN19" s="25" t="str">
        <f t="shared" si="2"/>
        <v/>
      </c>
    </row>
    <row r="20" spans="1:40" x14ac:dyDescent="0.3">
      <c r="A20" s="14" t="str">
        <f>IF(INDEX(Workers!$B:$B,ROW())="","",INDEX(Workers!$B:$B,ROW()))</f>
        <v/>
      </c>
      <c r="B20" s="21" t="str">
        <f>IF(INDEX(Workers!$C:$C,ROW())="","",INDEX(Workers!$C:$C,ROW()))</f>
        <v/>
      </c>
      <c r="C20" s="21" t="str">
        <f>IF(INDEX(Workers!$D:$D,ROW())="","",INDEX(Workers!$D:$D,ROW()))</f>
        <v/>
      </c>
      <c r="D20" s="22" t="str">
        <f>IF(INDEX(Workers!$E:$E,ROW())="","",INDEX(Workers!$E:$E,ROW()))</f>
        <v/>
      </c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4" t="str">
        <f t="shared" si="0"/>
        <v/>
      </c>
      <c r="AK20" s="24" t="str">
        <f t="shared" si="1"/>
        <v/>
      </c>
      <c r="AL20" s="25" t="str">
        <f>IF(B20="","",AJ20*N(D20)+AK20*N(D20)/Setup!$B$6*Setup!$B$7)</f>
        <v/>
      </c>
      <c r="AM20" s="25" t="str">
        <f>IF(B20="","",SUMIFS(Payments!$D$5:$D$304,Payments!$B$5:$B$304,A20,Payments!$A$5:$A$304,"&gt;="&amp;DATE(Setup!$B$4,4,1),Payments!$A$5:$A$304,"&lt;="&amp;EOMONTH(DATE(Setup!$B$4,4,1),0)))</f>
        <v/>
      </c>
      <c r="AN20" s="25" t="str">
        <f t="shared" si="2"/>
        <v/>
      </c>
    </row>
    <row r="21" spans="1:40" x14ac:dyDescent="0.3">
      <c r="A21" s="14" t="str">
        <f>IF(INDEX(Workers!$B:$B,ROW())="","",INDEX(Workers!$B:$B,ROW()))</f>
        <v/>
      </c>
      <c r="B21" s="21" t="str">
        <f>IF(INDEX(Workers!$C:$C,ROW())="","",INDEX(Workers!$C:$C,ROW()))</f>
        <v/>
      </c>
      <c r="C21" s="21" t="str">
        <f>IF(INDEX(Workers!$D:$D,ROW())="","",INDEX(Workers!$D:$D,ROW()))</f>
        <v/>
      </c>
      <c r="D21" s="22" t="str">
        <f>IF(INDEX(Workers!$E:$E,ROW())="","",INDEX(Workers!$E:$E,ROW()))</f>
        <v/>
      </c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4" t="str">
        <f t="shared" si="0"/>
        <v/>
      </c>
      <c r="AK21" s="24" t="str">
        <f t="shared" si="1"/>
        <v/>
      </c>
      <c r="AL21" s="25" t="str">
        <f>IF(B21="","",AJ21*N(D21)+AK21*N(D21)/Setup!$B$6*Setup!$B$7)</f>
        <v/>
      </c>
      <c r="AM21" s="25" t="str">
        <f>IF(B21="","",SUMIFS(Payments!$D$5:$D$304,Payments!$B$5:$B$304,A21,Payments!$A$5:$A$304,"&gt;="&amp;DATE(Setup!$B$4,4,1),Payments!$A$5:$A$304,"&lt;="&amp;EOMONTH(DATE(Setup!$B$4,4,1),0)))</f>
        <v/>
      </c>
      <c r="AN21" s="25" t="str">
        <f t="shared" si="2"/>
        <v/>
      </c>
    </row>
    <row r="22" spans="1:40" x14ac:dyDescent="0.3">
      <c r="A22" s="14" t="str">
        <f>IF(INDEX(Workers!$B:$B,ROW())="","",INDEX(Workers!$B:$B,ROW()))</f>
        <v/>
      </c>
      <c r="B22" s="21" t="str">
        <f>IF(INDEX(Workers!$C:$C,ROW())="","",INDEX(Workers!$C:$C,ROW()))</f>
        <v/>
      </c>
      <c r="C22" s="21" t="str">
        <f>IF(INDEX(Workers!$D:$D,ROW())="","",INDEX(Workers!$D:$D,ROW()))</f>
        <v/>
      </c>
      <c r="D22" s="22" t="str">
        <f>IF(INDEX(Workers!$E:$E,ROW())="","",INDEX(Workers!$E:$E,ROW()))</f>
        <v/>
      </c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4" t="str">
        <f t="shared" si="0"/>
        <v/>
      </c>
      <c r="AK22" s="24" t="str">
        <f t="shared" si="1"/>
        <v/>
      </c>
      <c r="AL22" s="25" t="str">
        <f>IF(B22="","",AJ22*N(D22)+AK22*N(D22)/Setup!$B$6*Setup!$B$7)</f>
        <v/>
      </c>
      <c r="AM22" s="25" t="str">
        <f>IF(B22="","",SUMIFS(Payments!$D$5:$D$304,Payments!$B$5:$B$304,A22,Payments!$A$5:$A$304,"&gt;="&amp;DATE(Setup!$B$4,4,1),Payments!$A$5:$A$304,"&lt;="&amp;EOMONTH(DATE(Setup!$B$4,4,1),0)))</f>
        <v/>
      </c>
      <c r="AN22" s="25" t="str">
        <f t="shared" si="2"/>
        <v/>
      </c>
    </row>
    <row r="23" spans="1:40" x14ac:dyDescent="0.3">
      <c r="A23" s="14" t="str">
        <f>IF(INDEX(Workers!$B:$B,ROW())="","",INDEX(Workers!$B:$B,ROW()))</f>
        <v/>
      </c>
      <c r="B23" s="21" t="str">
        <f>IF(INDEX(Workers!$C:$C,ROW())="","",INDEX(Workers!$C:$C,ROW()))</f>
        <v/>
      </c>
      <c r="C23" s="21" t="str">
        <f>IF(INDEX(Workers!$D:$D,ROW())="","",INDEX(Workers!$D:$D,ROW()))</f>
        <v/>
      </c>
      <c r="D23" s="22" t="str">
        <f>IF(INDEX(Workers!$E:$E,ROW())="","",INDEX(Workers!$E:$E,ROW()))</f>
        <v/>
      </c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4" t="str">
        <f t="shared" si="0"/>
        <v/>
      </c>
      <c r="AK23" s="24" t="str">
        <f t="shared" si="1"/>
        <v/>
      </c>
      <c r="AL23" s="25" t="str">
        <f>IF(B23="","",AJ23*N(D23)+AK23*N(D23)/Setup!$B$6*Setup!$B$7)</f>
        <v/>
      </c>
      <c r="AM23" s="25" t="str">
        <f>IF(B23="","",SUMIFS(Payments!$D$5:$D$304,Payments!$B$5:$B$304,A23,Payments!$A$5:$A$304,"&gt;="&amp;DATE(Setup!$B$4,4,1),Payments!$A$5:$A$304,"&lt;="&amp;EOMONTH(DATE(Setup!$B$4,4,1),0)))</f>
        <v/>
      </c>
      <c r="AN23" s="25" t="str">
        <f t="shared" si="2"/>
        <v/>
      </c>
    </row>
    <row r="24" spans="1:40" x14ac:dyDescent="0.3">
      <c r="A24" s="14" t="str">
        <f>IF(INDEX(Workers!$B:$B,ROW())="","",INDEX(Workers!$B:$B,ROW()))</f>
        <v/>
      </c>
      <c r="B24" s="21" t="str">
        <f>IF(INDEX(Workers!$C:$C,ROW())="","",INDEX(Workers!$C:$C,ROW()))</f>
        <v/>
      </c>
      <c r="C24" s="21" t="str">
        <f>IF(INDEX(Workers!$D:$D,ROW())="","",INDEX(Workers!$D:$D,ROW()))</f>
        <v/>
      </c>
      <c r="D24" s="22" t="str">
        <f>IF(INDEX(Workers!$E:$E,ROW())="","",INDEX(Workers!$E:$E,ROW()))</f>
        <v/>
      </c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4" t="str">
        <f t="shared" si="0"/>
        <v/>
      </c>
      <c r="AK24" s="24" t="str">
        <f t="shared" si="1"/>
        <v/>
      </c>
      <c r="AL24" s="25" t="str">
        <f>IF(B24="","",AJ24*N(D24)+AK24*N(D24)/Setup!$B$6*Setup!$B$7)</f>
        <v/>
      </c>
      <c r="AM24" s="25" t="str">
        <f>IF(B24="","",SUMIFS(Payments!$D$5:$D$304,Payments!$B$5:$B$304,A24,Payments!$A$5:$A$304,"&gt;="&amp;DATE(Setup!$B$4,4,1),Payments!$A$5:$A$304,"&lt;="&amp;EOMONTH(DATE(Setup!$B$4,4,1),0)))</f>
        <v/>
      </c>
      <c r="AN24" s="25" t="str">
        <f t="shared" si="2"/>
        <v/>
      </c>
    </row>
    <row r="25" spans="1:40" x14ac:dyDescent="0.3">
      <c r="A25" s="14" t="str">
        <f>IF(INDEX(Workers!$B:$B,ROW())="","",INDEX(Workers!$B:$B,ROW()))</f>
        <v/>
      </c>
      <c r="B25" s="21" t="str">
        <f>IF(INDEX(Workers!$C:$C,ROW())="","",INDEX(Workers!$C:$C,ROW()))</f>
        <v/>
      </c>
      <c r="C25" s="21" t="str">
        <f>IF(INDEX(Workers!$D:$D,ROW())="","",INDEX(Workers!$D:$D,ROW()))</f>
        <v/>
      </c>
      <c r="D25" s="22" t="str">
        <f>IF(INDEX(Workers!$E:$E,ROW())="","",INDEX(Workers!$E:$E,ROW()))</f>
        <v/>
      </c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4" t="str">
        <f t="shared" si="0"/>
        <v/>
      </c>
      <c r="AK25" s="24" t="str">
        <f t="shared" si="1"/>
        <v/>
      </c>
      <c r="AL25" s="25" t="str">
        <f>IF(B25="","",AJ25*N(D25)+AK25*N(D25)/Setup!$B$6*Setup!$B$7)</f>
        <v/>
      </c>
      <c r="AM25" s="25" t="str">
        <f>IF(B25="","",SUMIFS(Payments!$D$5:$D$304,Payments!$B$5:$B$304,A25,Payments!$A$5:$A$304,"&gt;="&amp;DATE(Setup!$B$4,4,1),Payments!$A$5:$A$304,"&lt;="&amp;EOMONTH(DATE(Setup!$B$4,4,1),0)))</f>
        <v/>
      </c>
      <c r="AN25" s="25" t="str">
        <f t="shared" si="2"/>
        <v/>
      </c>
    </row>
    <row r="26" spans="1:40" x14ac:dyDescent="0.3">
      <c r="A26" s="14" t="str">
        <f>IF(INDEX(Workers!$B:$B,ROW())="","",INDEX(Workers!$B:$B,ROW()))</f>
        <v/>
      </c>
      <c r="B26" s="21" t="str">
        <f>IF(INDEX(Workers!$C:$C,ROW())="","",INDEX(Workers!$C:$C,ROW()))</f>
        <v/>
      </c>
      <c r="C26" s="21" t="str">
        <f>IF(INDEX(Workers!$D:$D,ROW())="","",INDEX(Workers!$D:$D,ROW()))</f>
        <v/>
      </c>
      <c r="D26" s="22" t="str">
        <f>IF(INDEX(Workers!$E:$E,ROW())="","",INDEX(Workers!$E:$E,ROW()))</f>
        <v/>
      </c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4" t="str">
        <f t="shared" si="0"/>
        <v/>
      </c>
      <c r="AK26" s="24" t="str">
        <f t="shared" si="1"/>
        <v/>
      </c>
      <c r="AL26" s="25" t="str">
        <f>IF(B26="","",AJ26*N(D26)+AK26*N(D26)/Setup!$B$6*Setup!$B$7)</f>
        <v/>
      </c>
      <c r="AM26" s="25" t="str">
        <f>IF(B26="","",SUMIFS(Payments!$D$5:$D$304,Payments!$B$5:$B$304,A26,Payments!$A$5:$A$304,"&gt;="&amp;DATE(Setup!$B$4,4,1),Payments!$A$5:$A$304,"&lt;="&amp;EOMONTH(DATE(Setup!$B$4,4,1),0)))</f>
        <v/>
      </c>
      <c r="AN26" s="25" t="str">
        <f t="shared" si="2"/>
        <v/>
      </c>
    </row>
    <row r="27" spans="1:40" x14ac:dyDescent="0.3">
      <c r="A27" s="14" t="str">
        <f>IF(INDEX(Workers!$B:$B,ROW())="","",INDEX(Workers!$B:$B,ROW()))</f>
        <v/>
      </c>
      <c r="B27" s="21" t="str">
        <f>IF(INDEX(Workers!$C:$C,ROW())="","",INDEX(Workers!$C:$C,ROW()))</f>
        <v/>
      </c>
      <c r="C27" s="21" t="str">
        <f>IF(INDEX(Workers!$D:$D,ROW())="","",INDEX(Workers!$D:$D,ROW()))</f>
        <v/>
      </c>
      <c r="D27" s="22" t="str">
        <f>IF(INDEX(Workers!$E:$E,ROW())="","",INDEX(Workers!$E:$E,ROW()))</f>
        <v/>
      </c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4" t="str">
        <f t="shared" si="0"/>
        <v/>
      </c>
      <c r="AK27" s="24" t="str">
        <f t="shared" si="1"/>
        <v/>
      </c>
      <c r="AL27" s="25" t="str">
        <f>IF(B27="","",AJ27*N(D27)+AK27*N(D27)/Setup!$B$6*Setup!$B$7)</f>
        <v/>
      </c>
      <c r="AM27" s="25" t="str">
        <f>IF(B27="","",SUMIFS(Payments!$D$5:$D$304,Payments!$B$5:$B$304,A27,Payments!$A$5:$A$304,"&gt;="&amp;DATE(Setup!$B$4,4,1),Payments!$A$5:$A$304,"&lt;="&amp;EOMONTH(DATE(Setup!$B$4,4,1),0)))</f>
        <v/>
      </c>
      <c r="AN27" s="25" t="str">
        <f t="shared" si="2"/>
        <v/>
      </c>
    </row>
    <row r="28" spans="1:40" x14ac:dyDescent="0.3">
      <c r="A28" s="14" t="str">
        <f>IF(INDEX(Workers!$B:$B,ROW())="","",INDEX(Workers!$B:$B,ROW()))</f>
        <v/>
      </c>
      <c r="B28" s="21" t="str">
        <f>IF(INDEX(Workers!$C:$C,ROW())="","",INDEX(Workers!$C:$C,ROW()))</f>
        <v/>
      </c>
      <c r="C28" s="21" t="str">
        <f>IF(INDEX(Workers!$D:$D,ROW())="","",INDEX(Workers!$D:$D,ROW()))</f>
        <v/>
      </c>
      <c r="D28" s="22" t="str">
        <f>IF(INDEX(Workers!$E:$E,ROW())="","",INDEX(Workers!$E:$E,ROW()))</f>
        <v/>
      </c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4" t="str">
        <f t="shared" si="0"/>
        <v/>
      </c>
      <c r="AK28" s="24" t="str">
        <f t="shared" si="1"/>
        <v/>
      </c>
      <c r="AL28" s="25" t="str">
        <f>IF(B28="","",AJ28*N(D28)+AK28*N(D28)/Setup!$B$6*Setup!$B$7)</f>
        <v/>
      </c>
      <c r="AM28" s="25" t="str">
        <f>IF(B28="","",SUMIFS(Payments!$D$5:$D$304,Payments!$B$5:$B$304,A28,Payments!$A$5:$A$304,"&gt;="&amp;DATE(Setup!$B$4,4,1),Payments!$A$5:$A$304,"&lt;="&amp;EOMONTH(DATE(Setup!$B$4,4,1),0)))</f>
        <v/>
      </c>
      <c r="AN28" s="25" t="str">
        <f t="shared" si="2"/>
        <v/>
      </c>
    </row>
    <row r="29" spans="1:40" x14ac:dyDescent="0.3">
      <c r="A29" s="14" t="str">
        <f>IF(INDEX(Workers!$B:$B,ROW())="","",INDEX(Workers!$B:$B,ROW()))</f>
        <v/>
      </c>
      <c r="B29" s="21" t="str">
        <f>IF(INDEX(Workers!$C:$C,ROW())="","",INDEX(Workers!$C:$C,ROW()))</f>
        <v/>
      </c>
      <c r="C29" s="21" t="str">
        <f>IF(INDEX(Workers!$D:$D,ROW())="","",INDEX(Workers!$D:$D,ROW()))</f>
        <v/>
      </c>
      <c r="D29" s="22" t="str">
        <f>IF(INDEX(Workers!$E:$E,ROW())="","",INDEX(Workers!$E:$E,ROW()))</f>
        <v/>
      </c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4" t="str">
        <f t="shared" si="0"/>
        <v/>
      </c>
      <c r="AK29" s="24" t="str">
        <f t="shared" si="1"/>
        <v/>
      </c>
      <c r="AL29" s="25" t="str">
        <f>IF(B29="","",AJ29*N(D29)+AK29*N(D29)/Setup!$B$6*Setup!$B$7)</f>
        <v/>
      </c>
      <c r="AM29" s="25" t="str">
        <f>IF(B29="","",SUMIFS(Payments!$D$5:$D$304,Payments!$B$5:$B$304,A29,Payments!$A$5:$A$304,"&gt;="&amp;DATE(Setup!$B$4,4,1),Payments!$A$5:$A$304,"&lt;="&amp;EOMONTH(DATE(Setup!$B$4,4,1),0)))</f>
        <v/>
      </c>
      <c r="AN29" s="25" t="str">
        <f t="shared" si="2"/>
        <v/>
      </c>
    </row>
    <row r="30" spans="1:40" x14ac:dyDescent="0.3">
      <c r="A30" s="14" t="str">
        <f>IF(INDEX(Workers!$B:$B,ROW())="","",INDEX(Workers!$B:$B,ROW()))</f>
        <v/>
      </c>
      <c r="B30" s="21" t="str">
        <f>IF(INDEX(Workers!$C:$C,ROW())="","",INDEX(Workers!$C:$C,ROW()))</f>
        <v/>
      </c>
      <c r="C30" s="21" t="str">
        <f>IF(INDEX(Workers!$D:$D,ROW())="","",INDEX(Workers!$D:$D,ROW()))</f>
        <v/>
      </c>
      <c r="D30" s="22" t="str">
        <f>IF(INDEX(Workers!$E:$E,ROW())="","",INDEX(Workers!$E:$E,ROW()))</f>
        <v/>
      </c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4" t="str">
        <f t="shared" si="0"/>
        <v/>
      </c>
      <c r="AK30" s="24" t="str">
        <f t="shared" si="1"/>
        <v/>
      </c>
      <c r="AL30" s="25" t="str">
        <f>IF(B30="","",AJ30*N(D30)+AK30*N(D30)/Setup!$B$6*Setup!$B$7)</f>
        <v/>
      </c>
      <c r="AM30" s="25" t="str">
        <f>IF(B30="","",SUMIFS(Payments!$D$5:$D$304,Payments!$B$5:$B$304,A30,Payments!$A$5:$A$304,"&gt;="&amp;DATE(Setup!$B$4,4,1),Payments!$A$5:$A$304,"&lt;="&amp;EOMONTH(DATE(Setup!$B$4,4,1),0)))</f>
        <v/>
      </c>
      <c r="AN30" s="25" t="str">
        <f t="shared" si="2"/>
        <v/>
      </c>
    </row>
    <row r="31" spans="1:40" x14ac:dyDescent="0.3">
      <c r="A31" s="14" t="str">
        <f>IF(INDEX(Workers!$B:$B,ROW())="","",INDEX(Workers!$B:$B,ROW()))</f>
        <v/>
      </c>
      <c r="B31" s="21" t="str">
        <f>IF(INDEX(Workers!$C:$C,ROW())="","",INDEX(Workers!$C:$C,ROW()))</f>
        <v/>
      </c>
      <c r="C31" s="21" t="str">
        <f>IF(INDEX(Workers!$D:$D,ROW())="","",INDEX(Workers!$D:$D,ROW()))</f>
        <v/>
      </c>
      <c r="D31" s="22" t="str">
        <f>IF(INDEX(Workers!$E:$E,ROW())="","",INDEX(Workers!$E:$E,ROW()))</f>
        <v/>
      </c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4" t="str">
        <f t="shared" si="0"/>
        <v/>
      </c>
      <c r="AK31" s="24" t="str">
        <f t="shared" si="1"/>
        <v/>
      </c>
      <c r="AL31" s="25" t="str">
        <f>IF(B31="","",AJ31*N(D31)+AK31*N(D31)/Setup!$B$6*Setup!$B$7)</f>
        <v/>
      </c>
      <c r="AM31" s="25" t="str">
        <f>IF(B31="","",SUMIFS(Payments!$D$5:$D$304,Payments!$B$5:$B$304,A31,Payments!$A$5:$A$304,"&gt;="&amp;DATE(Setup!$B$4,4,1),Payments!$A$5:$A$304,"&lt;="&amp;EOMONTH(DATE(Setup!$B$4,4,1),0)))</f>
        <v/>
      </c>
      <c r="AN31" s="25" t="str">
        <f t="shared" si="2"/>
        <v/>
      </c>
    </row>
    <row r="32" spans="1:40" x14ac:dyDescent="0.3">
      <c r="A32" s="14" t="str">
        <f>IF(INDEX(Workers!$B:$B,ROW())="","",INDEX(Workers!$B:$B,ROW()))</f>
        <v/>
      </c>
      <c r="B32" s="21" t="str">
        <f>IF(INDEX(Workers!$C:$C,ROW())="","",INDEX(Workers!$C:$C,ROW()))</f>
        <v/>
      </c>
      <c r="C32" s="21" t="str">
        <f>IF(INDEX(Workers!$D:$D,ROW())="","",INDEX(Workers!$D:$D,ROW()))</f>
        <v/>
      </c>
      <c r="D32" s="22" t="str">
        <f>IF(INDEX(Workers!$E:$E,ROW())="","",INDEX(Workers!$E:$E,ROW()))</f>
        <v/>
      </c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4" t="str">
        <f t="shared" si="0"/>
        <v/>
      </c>
      <c r="AK32" s="24" t="str">
        <f t="shared" si="1"/>
        <v/>
      </c>
      <c r="AL32" s="25" t="str">
        <f>IF(B32="","",AJ32*N(D32)+AK32*N(D32)/Setup!$B$6*Setup!$B$7)</f>
        <v/>
      </c>
      <c r="AM32" s="25" t="str">
        <f>IF(B32="","",SUMIFS(Payments!$D$5:$D$304,Payments!$B$5:$B$304,A32,Payments!$A$5:$A$304,"&gt;="&amp;DATE(Setup!$B$4,4,1),Payments!$A$5:$A$304,"&lt;="&amp;EOMONTH(DATE(Setup!$B$4,4,1),0)))</f>
        <v/>
      </c>
      <c r="AN32" s="25" t="str">
        <f t="shared" si="2"/>
        <v/>
      </c>
    </row>
    <row r="33" spans="1:40" x14ac:dyDescent="0.3">
      <c r="A33" s="14" t="str">
        <f>IF(INDEX(Workers!$B:$B,ROW())="","",INDEX(Workers!$B:$B,ROW()))</f>
        <v/>
      </c>
      <c r="B33" s="21" t="str">
        <f>IF(INDEX(Workers!$C:$C,ROW())="","",INDEX(Workers!$C:$C,ROW()))</f>
        <v/>
      </c>
      <c r="C33" s="21" t="str">
        <f>IF(INDEX(Workers!$D:$D,ROW())="","",INDEX(Workers!$D:$D,ROW()))</f>
        <v/>
      </c>
      <c r="D33" s="22" t="str">
        <f>IF(INDEX(Workers!$E:$E,ROW())="","",INDEX(Workers!$E:$E,ROW()))</f>
        <v/>
      </c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4" t="str">
        <f t="shared" si="0"/>
        <v/>
      </c>
      <c r="AK33" s="24" t="str">
        <f t="shared" si="1"/>
        <v/>
      </c>
      <c r="AL33" s="25" t="str">
        <f>IF(B33="","",AJ33*N(D33)+AK33*N(D33)/Setup!$B$6*Setup!$B$7)</f>
        <v/>
      </c>
      <c r="AM33" s="25" t="str">
        <f>IF(B33="","",SUMIFS(Payments!$D$5:$D$304,Payments!$B$5:$B$304,A33,Payments!$A$5:$A$304,"&gt;="&amp;DATE(Setup!$B$4,4,1),Payments!$A$5:$A$304,"&lt;="&amp;EOMONTH(DATE(Setup!$B$4,4,1),0)))</f>
        <v/>
      </c>
      <c r="AN33" s="25" t="str">
        <f t="shared" si="2"/>
        <v/>
      </c>
    </row>
    <row r="34" spans="1:40" x14ac:dyDescent="0.3">
      <c r="A34" s="14" t="str">
        <f>IF(INDEX(Workers!$B:$B,ROW())="","",INDEX(Workers!$B:$B,ROW()))</f>
        <v/>
      </c>
      <c r="B34" s="21" t="str">
        <f>IF(INDEX(Workers!$C:$C,ROW())="","",INDEX(Workers!$C:$C,ROW()))</f>
        <v/>
      </c>
      <c r="C34" s="21" t="str">
        <f>IF(INDEX(Workers!$D:$D,ROW())="","",INDEX(Workers!$D:$D,ROW()))</f>
        <v/>
      </c>
      <c r="D34" s="22" t="str">
        <f>IF(INDEX(Workers!$E:$E,ROW())="","",INDEX(Workers!$E:$E,ROW()))</f>
        <v/>
      </c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4" t="str">
        <f t="shared" si="0"/>
        <v/>
      </c>
      <c r="AK34" s="24" t="str">
        <f t="shared" si="1"/>
        <v/>
      </c>
      <c r="AL34" s="25" t="str">
        <f>IF(B34="","",AJ34*N(D34)+AK34*N(D34)/Setup!$B$6*Setup!$B$7)</f>
        <v/>
      </c>
      <c r="AM34" s="25" t="str">
        <f>IF(B34="","",SUMIFS(Payments!$D$5:$D$304,Payments!$B$5:$B$304,A34,Payments!$A$5:$A$304,"&gt;="&amp;DATE(Setup!$B$4,4,1),Payments!$A$5:$A$304,"&lt;="&amp;EOMONTH(DATE(Setup!$B$4,4,1),0)))</f>
        <v/>
      </c>
      <c r="AN34" s="25" t="str">
        <f t="shared" si="2"/>
        <v/>
      </c>
    </row>
    <row r="35" spans="1:40" x14ac:dyDescent="0.3">
      <c r="A35" s="14" t="str">
        <f>IF(INDEX(Workers!$B:$B,ROW())="","",INDEX(Workers!$B:$B,ROW()))</f>
        <v/>
      </c>
      <c r="B35" s="21" t="str">
        <f>IF(INDEX(Workers!$C:$C,ROW())="","",INDEX(Workers!$C:$C,ROW()))</f>
        <v/>
      </c>
      <c r="C35" s="21" t="str">
        <f>IF(INDEX(Workers!$D:$D,ROW())="","",INDEX(Workers!$D:$D,ROW()))</f>
        <v/>
      </c>
      <c r="D35" s="22" t="str">
        <f>IF(INDEX(Workers!$E:$E,ROW())="","",INDEX(Workers!$E:$E,ROW()))</f>
        <v/>
      </c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4" t="str">
        <f t="shared" si="0"/>
        <v/>
      </c>
      <c r="AK35" s="24" t="str">
        <f t="shared" si="1"/>
        <v/>
      </c>
      <c r="AL35" s="25" t="str">
        <f>IF(B35="","",AJ35*N(D35)+AK35*N(D35)/Setup!$B$6*Setup!$B$7)</f>
        <v/>
      </c>
      <c r="AM35" s="25" t="str">
        <f>IF(B35="","",SUMIFS(Payments!$D$5:$D$304,Payments!$B$5:$B$304,A35,Payments!$A$5:$A$304,"&gt;="&amp;DATE(Setup!$B$4,4,1),Payments!$A$5:$A$304,"&lt;="&amp;EOMONTH(DATE(Setup!$B$4,4,1),0)))</f>
        <v/>
      </c>
      <c r="AN35" s="25" t="str">
        <f t="shared" si="2"/>
        <v/>
      </c>
    </row>
    <row r="36" spans="1:40" x14ac:dyDescent="0.3">
      <c r="A36" s="14" t="str">
        <f>IF(INDEX(Workers!$B:$B,ROW())="","",INDEX(Workers!$B:$B,ROW()))</f>
        <v/>
      </c>
      <c r="B36" s="21" t="str">
        <f>IF(INDEX(Workers!$C:$C,ROW())="","",INDEX(Workers!$C:$C,ROW()))</f>
        <v/>
      </c>
      <c r="C36" s="21" t="str">
        <f>IF(INDEX(Workers!$D:$D,ROW())="","",INDEX(Workers!$D:$D,ROW()))</f>
        <v/>
      </c>
      <c r="D36" s="22" t="str">
        <f>IF(INDEX(Workers!$E:$E,ROW())="","",INDEX(Workers!$E:$E,ROW()))</f>
        <v/>
      </c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4" t="str">
        <f t="shared" si="0"/>
        <v/>
      </c>
      <c r="AK36" s="24" t="str">
        <f t="shared" si="1"/>
        <v/>
      </c>
      <c r="AL36" s="25" t="str">
        <f>IF(B36="","",AJ36*N(D36)+AK36*N(D36)/Setup!$B$6*Setup!$B$7)</f>
        <v/>
      </c>
      <c r="AM36" s="25" t="str">
        <f>IF(B36="","",SUMIFS(Payments!$D$5:$D$304,Payments!$B$5:$B$304,A36,Payments!$A$5:$A$304,"&gt;="&amp;DATE(Setup!$B$4,4,1),Payments!$A$5:$A$304,"&lt;="&amp;EOMONTH(DATE(Setup!$B$4,4,1),0)))</f>
        <v/>
      </c>
      <c r="AN36" s="25" t="str">
        <f t="shared" si="2"/>
        <v/>
      </c>
    </row>
    <row r="37" spans="1:40" x14ac:dyDescent="0.3">
      <c r="A37" s="14" t="str">
        <f>IF(INDEX(Workers!$B:$B,ROW())="","",INDEX(Workers!$B:$B,ROW()))</f>
        <v/>
      </c>
      <c r="B37" s="21" t="str">
        <f>IF(INDEX(Workers!$C:$C,ROW())="","",INDEX(Workers!$C:$C,ROW()))</f>
        <v/>
      </c>
      <c r="C37" s="21" t="str">
        <f>IF(INDEX(Workers!$D:$D,ROW())="","",INDEX(Workers!$D:$D,ROW()))</f>
        <v/>
      </c>
      <c r="D37" s="22" t="str">
        <f>IF(INDEX(Workers!$E:$E,ROW())="","",INDEX(Workers!$E:$E,ROW()))</f>
        <v/>
      </c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4" t="str">
        <f t="shared" si="0"/>
        <v/>
      </c>
      <c r="AK37" s="24" t="str">
        <f t="shared" si="1"/>
        <v/>
      </c>
      <c r="AL37" s="25" t="str">
        <f>IF(B37="","",AJ37*N(D37)+AK37*N(D37)/Setup!$B$6*Setup!$B$7)</f>
        <v/>
      </c>
      <c r="AM37" s="25" t="str">
        <f>IF(B37="","",SUMIFS(Payments!$D$5:$D$304,Payments!$B$5:$B$304,A37,Payments!$A$5:$A$304,"&gt;="&amp;DATE(Setup!$B$4,4,1),Payments!$A$5:$A$304,"&lt;="&amp;EOMONTH(DATE(Setup!$B$4,4,1),0)))</f>
        <v/>
      </c>
      <c r="AN37" s="25" t="str">
        <f t="shared" si="2"/>
        <v/>
      </c>
    </row>
    <row r="38" spans="1:40" x14ac:dyDescent="0.3">
      <c r="A38" s="14" t="str">
        <f>IF(INDEX(Workers!$B:$B,ROW())="","",INDEX(Workers!$B:$B,ROW()))</f>
        <v/>
      </c>
      <c r="B38" s="21" t="str">
        <f>IF(INDEX(Workers!$C:$C,ROW())="","",INDEX(Workers!$C:$C,ROW()))</f>
        <v/>
      </c>
      <c r="C38" s="21" t="str">
        <f>IF(INDEX(Workers!$D:$D,ROW())="","",INDEX(Workers!$D:$D,ROW()))</f>
        <v/>
      </c>
      <c r="D38" s="22" t="str">
        <f>IF(INDEX(Workers!$E:$E,ROW())="","",INDEX(Workers!$E:$E,ROW()))</f>
        <v/>
      </c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4" t="str">
        <f t="shared" si="0"/>
        <v/>
      </c>
      <c r="AK38" s="24" t="str">
        <f t="shared" si="1"/>
        <v/>
      </c>
      <c r="AL38" s="25" t="str">
        <f>IF(B38="","",AJ38*N(D38)+AK38*N(D38)/Setup!$B$6*Setup!$B$7)</f>
        <v/>
      </c>
      <c r="AM38" s="25" t="str">
        <f>IF(B38="","",SUMIFS(Payments!$D$5:$D$304,Payments!$B$5:$B$304,A38,Payments!$A$5:$A$304,"&gt;="&amp;DATE(Setup!$B$4,4,1),Payments!$A$5:$A$304,"&lt;="&amp;EOMONTH(DATE(Setup!$B$4,4,1),0)))</f>
        <v/>
      </c>
      <c r="AN38" s="25" t="str">
        <f t="shared" si="2"/>
        <v/>
      </c>
    </row>
    <row r="39" spans="1:40" x14ac:dyDescent="0.3">
      <c r="A39" s="14" t="str">
        <f>IF(INDEX(Workers!$B:$B,ROW())="","",INDEX(Workers!$B:$B,ROW()))</f>
        <v/>
      </c>
      <c r="B39" s="21" t="str">
        <f>IF(INDEX(Workers!$C:$C,ROW())="","",INDEX(Workers!$C:$C,ROW()))</f>
        <v/>
      </c>
      <c r="C39" s="21" t="str">
        <f>IF(INDEX(Workers!$D:$D,ROW())="","",INDEX(Workers!$D:$D,ROW()))</f>
        <v/>
      </c>
      <c r="D39" s="22" t="str">
        <f>IF(INDEX(Workers!$E:$E,ROW())="","",INDEX(Workers!$E:$E,ROW()))</f>
        <v/>
      </c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4" t="str">
        <f t="shared" si="0"/>
        <v/>
      </c>
      <c r="AK39" s="24" t="str">
        <f t="shared" si="1"/>
        <v/>
      </c>
      <c r="AL39" s="25" t="str">
        <f>IF(B39="","",AJ39*N(D39)+AK39*N(D39)/Setup!$B$6*Setup!$B$7)</f>
        <v/>
      </c>
      <c r="AM39" s="25" t="str">
        <f>IF(B39="","",SUMIFS(Payments!$D$5:$D$304,Payments!$B$5:$B$304,A39,Payments!$A$5:$A$304,"&gt;="&amp;DATE(Setup!$B$4,4,1),Payments!$A$5:$A$304,"&lt;="&amp;EOMONTH(DATE(Setup!$B$4,4,1),0)))</f>
        <v/>
      </c>
      <c r="AN39" s="25" t="str">
        <f t="shared" si="2"/>
        <v/>
      </c>
    </row>
    <row r="40" spans="1:40" x14ac:dyDescent="0.3">
      <c r="A40" s="14" t="str">
        <f>IF(INDEX(Workers!$B:$B,ROW())="","",INDEX(Workers!$B:$B,ROW()))</f>
        <v/>
      </c>
      <c r="B40" s="21" t="str">
        <f>IF(INDEX(Workers!$C:$C,ROW())="","",INDEX(Workers!$C:$C,ROW()))</f>
        <v/>
      </c>
      <c r="C40" s="21" t="str">
        <f>IF(INDEX(Workers!$D:$D,ROW())="","",INDEX(Workers!$D:$D,ROW()))</f>
        <v/>
      </c>
      <c r="D40" s="22" t="str">
        <f>IF(INDEX(Workers!$E:$E,ROW())="","",INDEX(Workers!$E:$E,ROW()))</f>
        <v/>
      </c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4" t="str">
        <f t="shared" si="0"/>
        <v/>
      </c>
      <c r="AK40" s="24" t="str">
        <f t="shared" si="1"/>
        <v/>
      </c>
      <c r="AL40" s="25" t="str">
        <f>IF(B40="","",AJ40*N(D40)+AK40*N(D40)/Setup!$B$6*Setup!$B$7)</f>
        <v/>
      </c>
      <c r="AM40" s="25" t="str">
        <f>IF(B40="","",SUMIFS(Payments!$D$5:$D$304,Payments!$B$5:$B$304,A40,Payments!$A$5:$A$304,"&gt;="&amp;DATE(Setup!$B$4,4,1),Payments!$A$5:$A$304,"&lt;="&amp;EOMONTH(DATE(Setup!$B$4,4,1),0)))</f>
        <v/>
      </c>
      <c r="AN40" s="25" t="str">
        <f t="shared" si="2"/>
        <v/>
      </c>
    </row>
    <row r="41" spans="1:40" x14ac:dyDescent="0.3">
      <c r="A41" s="14" t="str">
        <f>IF(INDEX(Workers!$B:$B,ROW())="","",INDEX(Workers!$B:$B,ROW()))</f>
        <v/>
      </c>
      <c r="B41" s="21" t="str">
        <f>IF(INDEX(Workers!$C:$C,ROW())="","",INDEX(Workers!$C:$C,ROW()))</f>
        <v/>
      </c>
      <c r="C41" s="21" t="str">
        <f>IF(INDEX(Workers!$D:$D,ROW())="","",INDEX(Workers!$D:$D,ROW()))</f>
        <v/>
      </c>
      <c r="D41" s="22" t="str">
        <f>IF(INDEX(Workers!$E:$E,ROW())="","",INDEX(Workers!$E:$E,ROW()))</f>
        <v/>
      </c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4" t="str">
        <f t="shared" si="0"/>
        <v/>
      </c>
      <c r="AK41" s="24" t="str">
        <f t="shared" si="1"/>
        <v/>
      </c>
      <c r="AL41" s="25" t="str">
        <f>IF(B41="","",AJ41*N(D41)+AK41*N(D41)/Setup!$B$6*Setup!$B$7)</f>
        <v/>
      </c>
      <c r="AM41" s="25" t="str">
        <f>IF(B41="","",SUMIFS(Payments!$D$5:$D$304,Payments!$B$5:$B$304,A41,Payments!$A$5:$A$304,"&gt;="&amp;DATE(Setup!$B$4,4,1),Payments!$A$5:$A$304,"&lt;="&amp;EOMONTH(DATE(Setup!$B$4,4,1),0)))</f>
        <v/>
      </c>
      <c r="AN41" s="25" t="str">
        <f t="shared" si="2"/>
        <v/>
      </c>
    </row>
    <row r="42" spans="1:40" x14ac:dyDescent="0.3">
      <c r="A42" s="14" t="str">
        <f>IF(INDEX(Workers!$B:$B,ROW())="","",INDEX(Workers!$B:$B,ROW()))</f>
        <v/>
      </c>
      <c r="B42" s="21" t="str">
        <f>IF(INDEX(Workers!$C:$C,ROW())="","",INDEX(Workers!$C:$C,ROW()))</f>
        <v/>
      </c>
      <c r="C42" s="21" t="str">
        <f>IF(INDEX(Workers!$D:$D,ROW())="","",INDEX(Workers!$D:$D,ROW()))</f>
        <v/>
      </c>
      <c r="D42" s="22" t="str">
        <f>IF(INDEX(Workers!$E:$E,ROW())="","",INDEX(Workers!$E:$E,ROW()))</f>
        <v/>
      </c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4" t="str">
        <f t="shared" si="0"/>
        <v/>
      </c>
      <c r="AK42" s="24" t="str">
        <f t="shared" si="1"/>
        <v/>
      </c>
      <c r="AL42" s="25" t="str">
        <f>IF(B42="","",AJ42*N(D42)+AK42*N(D42)/Setup!$B$6*Setup!$B$7)</f>
        <v/>
      </c>
      <c r="AM42" s="25" t="str">
        <f>IF(B42="","",SUMIFS(Payments!$D$5:$D$304,Payments!$B$5:$B$304,A42,Payments!$A$5:$A$304,"&gt;="&amp;DATE(Setup!$B$4,4,1),Payments!$A$5:$A$304,"&lt;="&amp;EOMONTH(DATE(Setup!$B$4,4,1),0)))</f>
        <v/>
      </c>
      <c r="AN42" s="25" t="str">
        <f t="shared" si="2"/>
        <v/>
      </c>
    </row>
    <row r="43" spans="1:40" x14ac:dyDescent="0.3">
      <c r="A43" s="14" t="str">
        <f>IF(INDEX(Workers!$B:$B,ROW())="","",INDEX(Workers!$B:$B,ROW()))</f>
        <v/>
      </c>
      <c r="B43" s="21" t="str">
        <f>IF(INDEX(Workers!$C:$C,ROW())="","",INDEX(Workers!$C:$C,ROW()))</f>
        <v/>
      </c>
      <c r="C43" s="21" t="str">
        <f>IF(INDEX(Workers!$D:$D,ROW())="","",INDEX(Workers!$D:$D,ROW()))</f>
        <v/>
      </c>
      <c r="D43" s="22" t="str">
        <f>IF(INDEX(Workers!$E:$E,ROW())="","",INDEX(Workers!$E:$E,ROW()))</f>
        <v/>
      </c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4" t="str">
        <f t="shared" si="0"/>
        <v/>
      </c>
      <c r="AK43" s="24" t="str">
        <f t="shared" si="1"/>
        <v/>
      </c>
      <c r="AL43" s="25" t="str">
        <f>IF(B43="","",AJ43*N(D43)+AK43*N(D43)/Setup!$B$6*Setup!$B$7)</f>
        <v/>
      </c>
      <c r="AM43" s="25" t="str">
        <f>IF(B43="","",SUMIFS(Payments!$D$5:$D$304,Payments!$B$5:$B$304,A43,Payments!$A$5:$A$304,"&gt;="&amp;DATE(Setup!$B$4,4,1),Payments!$A$5:$A$304,"&lt;="&amp;EOMONTH(DATE(Setup!$B$4,4,1),0)))</f>
        <v/>
      </c>
      <c r="AN43" s="25" t="str">
        <f t="shared" si="2"/>
        <v/>
      </c>
    </row>
    <row r="44" spans="1:40" x14ac:dyDescent="0.3">
      <c r="A44" s="14" t="str">
        <f>IF(INDEX(Workers!$B:$B,ROW())="","",INDEX(Workers!$B:$B,ROW()))</f>
        <v/>
      </c>
      <c r="B44" s="21" t="str">
        <f>IF(INDEX(Workers!$C:$C,ROW())="","",INDEX(Workers!$C:$C,ROW()))</f>
        <v/>
      </c>
      <c r="C44" s="21" t="str">
        <f>IF(INDEX(Workers!$D:$D,ROW())="","",INDEX(Workers!$D:$D,ROW()))</f>
        <v/>
      </c>
      <c r="D44" s="22" t="str">
        <f>IF(INDEX(Workers!$E:$E,ROW())="","",INDEX(Workers!$E:$E,ROW()))</f>
        <v/>
      </c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4" t="str">
        <f t="shared" si="0"/>
        <v/>
      </c>
      <c r="AK44" s="24" t="str">
        <f t="shared" si="1"/>
        <v/>
      </c>
      <c r="AL44" s="25" t="str">
        <f>IF(B44="","",AJ44*N(D44)+AK44*N(D44)/Setup!$B$6*Setup!$B$7)</f>
        <v/>
      </c>
      <c r="AM44" s="25" t="str">
        <f>IF(B44="","",SUMIFS(Payments!$D$5:$D$304,Payments!$B$5:$B$304,A44,Payments!$A$5:$A$304,"&gt;="&amp;DATE(Setup!$B$4,4,1),Payments!$A$5:$A$304,"&lt;="&amp;EOMONTH(DATE(Setup!$B$4,4,1),0)))</f>
        <v/>
      </c>
      <c r="AN44" s="25" t="str">
        <f t="shared" si="2"/>
        <v/>
      </c>
    </row>
    <row r="45" spans="1:40" x14ac:dyDescent="0.3">
      <c r="A45" s="26"/>
      <c r="B45" s="26" t="s">
        <v>88</v>
      </c>
      <c r="C45" s="26"/>
      <c r="D45" s="26"/>
      <c r="E45" s="27">
        <f t="shared" ref="E45:AI45" si="3">IF(E$3="","",COUNTIF(E5:E44,"P")+COUNTIF(E5:E44,"H")+COUNT(E5:E44))</f>
        <v>0</v>
      </c>
      <c r="F45" s="27">
        <f t="shared" si="3"/>
        <v>0</v>
      </c>
      <c r="G45" s="27">
        <f t="shared" si="3"/>
        <v>0</v>
      </c>
      <c r="H45" s="27">
        <f t="shared" si="3"/>
        <v>0</v>
      </c>
      <c r="I45" s="27">
        <f t="shared" si="3"/>
        <v>0</v>
      </c>
      <c r="J45" s="27">
        <f t="shared" si="3"/>
        <v>0</v>
      </c>
      <c r="K45" s="27">
        <f t="shared" si="3"/>
        <v>0</v>
      </c>
      <c r="L45" s="27">
        <f t="shared" si="3"/>
        <v>0</v>
      </c>
      <c r="M45" s="27">
        <f t="shared" si="3"/>
        <v>0</v>
      </c>
      <c r="N45" s="27">
        <f t="shared" si="3"/>
        <v>0</v>
      </c>
      <c r="O45" s="27">
        <f t="shared" si="3"/>
        <v>0</v>
      </c>
      <c r="P45" s="27">
        <f t="shared" si="3"/>
        <v>0</v>
      </c>
      <c r="Q45" s="27">
        <f t="shared" si="3"/>
        <v>0</v>
      </c>
      <c r="R45" s="27">
        <f t="shared" si="3"/>
        <v>0</v>
      </c>
      <c r="S45" s="27">
        <f t="shared" si="3"/>
        <v>0</v>
      </c>
      <c r="T45" s="27">
        <f t="shared" si="3"/>
        <v>0</v>
      </c>
      <c r="U45" s="27">
        <f t="shared" si="3"/>
        <v>0</v>
      </c>
      <c r="V45" s="27">
        <f t="shared" si="3"/>
        <v>0</v>
      </c>
      <c r="W45" s="27">
        <f t="shared" si="3"/>
        <v>0</v>
      </c>
      <c r="X45" s="27">
        <f t="shared" si="3"/>
        <v>0</v>
      </c>
      <c r="Y45" s="27">
        <f t="shared" si="3"/>
        <v>0</v>
      </c>
      <c r="Z45" s="27">
        <f t="shared" si="3"/>
        <v>0</v>
      </c>
      <c r="AA45" s="27">
        <f t="shared" si="3"/>
        <v>0</v>
      </c>
      <c r="AB45" s="27">
        <f t="shared" si="3"/>
        <v>0</v>
      </c>
      <c r="AC45" s="27">
        <f t="shared" si="3"/>
        <v>0</v>
      </c>
      <c r="AD45" s="27">
        <f t="shared" si="3"/>
        <v>0</v>
      </c>
      <c r="AE45" s="27">
        <f t="shared" si="3"/>
        <v>0</v>
      </c>
      <c r="AF45" s="27">
        <f t="shared" si="3"/>
        <v>0</v>
      </c>
      <c r="AG45" s="27">
        <f t="shared" si="3"/>
        <v>0</v>
      </c>
      <c r="AH45" s="27">
        <f t="shared" si="3"/>
        <v>0</v>
      </c>
      <c r="AI45" s="27" t="str">
        <f t="shared" si="3"/>
        <v/>
      </c>
      <c r="AJ45" s="28">
        <f>SUM(AJ5:AJ44)</f>
        <v>0</v>
      </c>
      <c r="AK45" s="28">
        <f>SUM(AK5:AK44)</f>
        <v>0</v>
      </c>
      <c r="AL45" s="29">
        <f>SUM(AL5:AL44)</f>
        <v>0</v>
      </c>
      <c r="AM45" s="29">
        <f>SUM(AM5:AM44)</f>
        <v>0</v>
      </c>
      <c r="AN45" s="29">
        <f>SUM(AN5:AN44)</f>
        <v>0</v>
      </c>
    </row>
  </sheetData>
  <conditionalFormatting sqref="E3:AI3">
    <cfRule type="expression" dxfId="62" priority="2">
      <formula>E$3="Sun"</formula>
    </cfRule>
  </conditionalFormatting>
  <conditionalFormatting sqref="E3:AI45">
    <cfRule type="expression" dxfId="61" priority="1">
      <formula>E$3=""</formula>
    </cfRule>
  </conditionalFormatting>
  <conditionalFormatting sqref="E5:AI44">
    <cfRule type="expression" dxfId="60" priority="6">
      <formula>E5="A"</formula>
    </cfRule>
    <cfRule type="expression" dxfId="59" priority="7">
      <formula>E5="H"</formula>
    </cfRule>
    <cfRule type="expression" dxfId="58" priority="8">
      <formula>ISNUMBER(E5)</formula>
    </cfRule>
  </conditionalFormatting>
  <conditionalFormatting sqref="E5:AI45">
    <cfRule type="expression" dxfId="57" priority="4">
      <formula>E$3="Sun"</formula>
    </cfRule>
  </conditionalFormatting>
  <conditionalFormatting sqref="AN5:AN44">
    <cfRule type="expression" dxfId="56" priority="9">
      <formula>AN5&lt;0</formula>
    </cfRule>
  </conditionalFormatting>
  <dataValidations count="1">
    <dataValidation type="custom" allowBlank="1" showErrorMessage="1" errorTitle="Attendance code" error="Type P, H, A, L, or the number of overtime hours (0 to 12). Shaded days do not exist in this month." sqref="E5:AI44" xr:uid="{00000000-0002-0000-0600-000000000000}">
      <formula1>AND(E$3&lt;&gt;"",OR(E5="P",E5="H",E5="A",E5="L",AND(ISNUMBER(E5),E5&gt;=0,E5&lt;=12)))</formula1>
    </dataValidation>
  </dataValidations>
  <printOptions horizontalCentered="1"/>
  <pageMargins left="0.45" right="0.45" top="0.6" bottom="0.6" header="0.3" footer="0.3"/>
  <pageSetup paperSize="9" scale="66" orientation="landscape" r:id="rId1"/>
  <headerFooter>
    <oddFooter>&amp;L&amp;8Free from NirmanDost - nirmandost.in - sign up for more free tools&amp;R&amp;8Page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N45"/>
  <sheetViews>
    <sheetView showGridLines="0" workbookViewId="0">
      <pane xSplit="4" ySplit="4" topLeftCell="E5" activePane="bottomRight" state="frozen"/>
      <selection pane="topRight"/>
      <selection pane="bottomLeft"/>
      <selection pane="bottomRight"/>
    </sheetView>
  </sheetViews>
  <sheetFormatPr defaultRowHeight="14.4" x14ac:dyDescent="0.3"/>
  <cols>
    <col min="1" max="1" width="7" customWidth="1"/>
    <col min="2" max="2" width="24" customWidth="1"/>
    <col min="3" max="3" width="11" customWidth="1"/>
    <col min="4" max="4" width="9" customWidth="1"/>
    <col min="5" max="35" width="3.5546875" customWidth="1"/>
    <col min="36" max="37" width="6.44140625" customWidth="1"/>
    <col min="38" max="38" width="12" customWidth="1"/>
    <col min="39" max="40" width="11" customWidth="1"/>
  </cols>
  <sheetData>
    <row r="1" spans="1:40" ht="17.399999999999999" x14ac:dyDescent="0.3">
      <c r="A1" s="18" t="str">
        <f>"Attendance - "&amp;TEXT(DATE(Setup!$B$4,5,1),"mmmm yyyy")&amp;"   "&amp;Setup!$B$5</f>
        <v>Attendance - May 2026   Type the site name</v>
      </c>
    </row>
    <row r="2" spans="1:40" x14ac:dyDescent="0.3">
      <c r="A2" s="19" t="s">
        <v>49</v>
      </c>
    </row>
    <row r="3" spans="1:40" x14ac:dyDescent="0.3">
      <c r="E3" s="20" t="str">
        <f>IF(1&gt;DAY(EOMONTH(DATE(Setup!$B$4,5,1),0)),"",TEXT(DATE(Setup!$B$4,5,1),"ddd"))</f>
        <v>Fri</v>
      </c>
      <c r="F3" s="20" t="str">
        <f>IF(2&gt;DAY(EOMONTH(DATE(Setup!$B$4,5,1),0)),"",TEXT(DATE(Setup!$B$4,5,2),"ddd"))</f>
        <v>Sat</v>
      </c>
      <c r="G3" s="20" t="str">
        <f>IF(3&gt;DAY(EOMONTH(DATE(Setup!$B$4,5,1),0)),"",TEXT(DATE(Setup!$B$4,5,3),"ddd"))</f>
        <v>Sun</v>
      </c>
      <c r="H3" s="20" t="str">
        <f>IF(4&gt;DAY(EOMONTH(DATE(Setup!$B$4,5,1),0)),"",TEXT(DATE(Setup!$B$4,5,4),"ddd"))</f>
        <v>Mon</v>
      </c>
      <c r="I3" s="20" t="str">
        <f>IF(5&gt;DAY(EOMONTH(DATE(Setup!$B$4,5,1),0)),"",TEXT(DATE(Setup!$B$4,5,5),"ddd"))</f>
        <v>Tue</v>
      </c>
      <c r="J3" s="20" t="str">
        <f>IF(6&gt;DAY(EOMONTH(DATE(Setup!$B$4,5,1),0)),"",TEXT(DATE(Setup!$B$4,5,6),"ddd"))</f>
        <v>Wed</v>
      </c>
      <c r="K3" s="20" t="str">
        <f>IF(7&gt;DAY(EOMONTH(DATE(Setup!$B$4,5,1),0)),"",TEXT(DATE(Setup!$B$4,5,7),"ddd"))</f>
        <v>Thu</v>
      </c>
      <c r="L3" s="20" t="str">
        <f>IF(8&gt;DAY(EOMONTH(DATE(Setup!$B$4,5,1),0)),"",TEXT(DATE(Setup!$B$4,5,8),"ddd"))</f>
        <v>Fri</v>
      </c>
      <c r="M3" s="20" t="str">
        <f>IF(9&gt;DAY(EOMONTH(DATE(Setup!$B$4,5,1),0)),"",TEXT(DATE(Setup!$B$4,5,9),"ddd"))</f>
        <v>Sat</v>
      </c>
      <c r="N3" s="20" t="str">
        <f>IF(10&gt;DAY(EOMONTH(DATE(Setup!$B$4,5,1),0)),"",TEXT(DATE(Setup!$B$4,5,10),"ddd"))</f>
        <v>Sun</v>
      </c>
      <c r="O3" s="20" t="str">
        <f>IF(11&gt;DAY(EOMONTH(DATE(Setup!$B$4,5,1),0)),"",TEXT(DATE(Setup!$B$4,5,11),"ddd"))</f>
        <v>Mon</v>
      </c>
      <c r="P3" s="20" t="str">
        <f>IF(12&gt;DAY(EOMONTH(DATE(Setup!$B$4,5,1),0)),"",TEXT(DATE(Setup!$B$4,5,12),"ddd"))</f>
        <v>Tue</v>
      </c>
      <c r="Q3" s="20" t="str">
        <f>IF(13&gt;DAY(EOMONTH(DATE(Setup!$B$4,5,1),0)),"",TEXT(DATE(Setup!$B$4,5,13),"ddd"))</f>
        <v>Wed</v>
      </c>
      <c r="R3" s="20" t="str">
        <f>IF(14&gt;DAY(EOMONTH(DATE(Setup!$B$4,5,1),0)),"",TEXT(DATE(Setup!$B$4,5,14),"ddd"))</f>
        <v>Thu</v>
      </c>
      <c r="S3" s="20" t="str">
        <f>IF(15&gt;DAY(EOMONTH(DATE(Setup!$B$4,5,1),0)),"",TEXT(DATE(Setup!$B$4,5,15),"ddd"))</f>
        <v>Fri</v>
      </c>
      <c r="T3" s="20" t="str">
        <f>IF(16&gt;DAY(EOMONTH(DATE(Setup!$B$4,5,1),0)),"",TEXT(DATE(Setup!$B$4,5,16),"ddd"))</f>
        <v>Sat</v>
      </c>
      <c r="U3" s="20" t="str">
        <f>IF(17&gt;DAY(EOMONTH(DATE(Setup!$B$4,5,1),0)),"",TEXT(DATE(Setup!$B$4,5,17),"ddd"))</f>
        <v>Sun</v>
      </c>
      <c r="V3" s="20" t="str">
        <f>IF(18&gt;DAY(EOMONTH(DATE(Setup!$B$4,5,1),0)),"",TEXT(DATE(Setup!$B$4,5,18),"ddd"))</f>
        <v>Mon</v>
      </c>
      <c r="W3" s="20" t="str">
        <f>IF(19&gt;DAY(EOMONTH(DATE(Setup!$B$4,5,1),0)),"",TEXT(DATE(Setup!$B$4,5,19),"ddd"))</f>
        <v>Tue</v>
      </c>
      <c r="X3" s="20" t="str">
        <f>IF(20&gt;DAY(EOMONTH(DATE(Setup!$B$4,5,1),0)),"",TEXT(DATE(Setup!$B$4,5,20),"ddd"))</f>
        <v>Wed</v>
      </c>
      <c r="Y3" s="20" t="str">
        <f>IF(21&gt;DAY(EOMONTH(DATE(Setup!$B$4,5,1),0)),"",TEXT(DATE(Setup!$B$4,5,21),"ddd"))</f>
        <v>Thu</v>
      </c>
      <c r="Z3" s="20" t="str">
        <f>IF(22&gt;DAY(EOMONTH(DATE(Setup!$B$4,5,1),0)),"",TEXT(DATE(Setup!$B$4,5,22),"ddd"))</f>
        <v>Fri</v>
      </c>
      <c r="AA3" s="20" t="str">
        <f>IF(23&gt;DAY(EOMONTH(DATE(Setup!$B$4,5,1),0)),"",TEXT(DATE(Setup!$B$4,5,23),"ddd"))</f>
        <v>Sat</v>
      </c>
      <c r="AB3" s="20" t="str">
        <f>IF(24&gt;DAY(EOMONTH(DATE(Setup!$B$4,5,1),0)),"",TEXT(DATE(Setup!$B$4,5,24),"ddd"))</f>
        <v>Sun</v>
      </c>
      <c r="AC3" s="20" t="str">
        <f>IF(25&gt;DAY(EOMONTH(DATE(Setup!$B$4,5,1),0)),"",TEXT(DATE(Setup!$B$4,5,25),"ddd"))</f>
        <v>Mon</v>
      </c>
      <c r="AD3" s="20" t="str">
        <f>IF(26&gt;DAY(EOMONTH(DATE(Setup!$B$4,5,1),0)),"",TEXT(DATE(Setup!$B$4,5,26),"ddd"))</f>
        <v>Tue</v>
      </c>
      <c r="AE3" s="20" t="str">
        <f>IF(27&gt;DAY(EOMONTH(DATE(Setup!$B$4,5,1),0)),"",TEXT(DATE(Setup!$B$4,5,27),"ddd"))</f>
        <v>Wed</v>
      </c>
      <c r="AF3" s="20" t="str">
        <f>IF(28&gt;DAY(EOMONTH(DATE(Setup!$B$4,5,1),0)),"",TEXT(DATE(Setup!$B$4,5,28),"ddd"))</f>
        <v>Thu</v>
      </c>
      <c r="AG3" s="20" t="str">
        <f>IF(29&gt;DAY(EOMONTH(DATE(Setup!$B$4,5,1),0)),"",TEXT(DATE(Setup!$B$4,5,29),"ddd"))</f>
        <v>Fri</v>
      </c>
      <c r="AH3" s="20" t="str">
        <f>IF(30&gt;DAY(EOMONTH(DATE(Setup!$B$4,5,1),0)),"",TEXT(DATE(Setup!$B$4,5,30),"ddd"))</f>
        <v>Sat</v>
      </c>
      <c r="AI3" s="20" t="str">
        <f>IF(31&gt;DAY(EOMONTH(DATE(Setup!$B$4,5,1),0)),"",TEXT(DATE(Setup!$B$4,5,31),"ddd"))</f>
        <v>Sun</v>
      </c>
    </row>
    <row r="4" spans="1:40" ht="28.05" customHeight="1" x14ac:dyDescent="0.3">
      <c r="A4" s="13" t="s">
        <v>50</v>
      </c>
      <c r="B4" s="13" t="s">
        <v>37</v>
      </c>
      <c r="C4" s="13" t="s">
        <v>38</v>
      </c>
      <c r="D4" s="13" t="s">
        <v>51</v>
      </c>
      <c r="E4" s="13" t="s">
        <v>52</v>
      </c>
      <c r="F4" s="13" t="s">
        <v>53</v>
      </c>
      <c r="G4" s="13" t="s">
        <v>54</v>
      </c>
      <c r="H4" s="13" t="s">
        <v>55</v>
      </c>
      <c r="I4" s="13" t="s">
        <v>56</v>
      </c>
      <c r="J4" s="13" t="s">
        <v>57</v>
      </c>
      <c r="K4" s="13" t="s">
        <v>58</v>
      </c>
      <c r="L4" s="13" t="s">
        <v>59</v>
      </c>
      <c r="M4" s="13" t="s">
        <v>60</v>
      </c>
      <c r="N4" s="13" t="s">
        <v>61</v>
      </c>
      <c r="O4" s="13" t="s">
        <v>62</v>
      </c>
      <c r="P4" s="13" t="s">
        <v>63</v>
      </c>
      <c r="Q4" s="13" t="s">
        <v>64</v>
      </c>
      <c r="R4" s="13" t="s">
        <v>65</v>
      </c>
      <c r="S4" s="13" t="s">
        <v>66</v>
      </c>
      <c r="T4" s="13" t="s">
        <v>67</v>
      </c>
      <c r="U4" s="13" t="s">
        <v>68</v>
      </c>
      <c r="V4" s="13" t="s">
        <v>69</v>
      </c>
      <c r="W4" s="13" t="s">
        <v>70</v>
      </c>
      <c r="X4" s="13" t="s">
        <v>71</v>
      </c>
      <c r="Y4" s="13" t="s">
        <v>72</v>
      </c>
      <c r="Z4" s="13" t="s">
        <v>73</v>
      </c>
      <c r="AA4" s="13" t="s">
        <v>74</v>
      </c>
      <c r="AB4" s="13" t="s">
        <v>75</v>
      </c>
      <c r="AC4" s="13" t="s">
        <v>76</v>
      </c>
      <c r="AD4" s="13" t="s">
        <v>77</v>
      </c>
      <c r="AE4" s="13" t="s">
        <v>78</v>
      </c>
      <c r="AF4" s="13" t="s">
        <v>79</v>
      </c>
      <c r="AG4" s="13" t="s">
        <v>80</v>
      </c>
      <c r="AH4" s="13" t="s">
        <v>81</v>
      </c>
      <c r="AI4" s="13" t="s">
        <v>82</v>
      </c>
      <c r="AJ4" s="13" t="s">
        <v>83</v>
      </c>
      <c r="AK4" s="13" t="s">
        <v>84</v>
      </c>
      <c r="AL4" s="13" t="s">
        <v>85</v>
      </c>
      <c r="AM4" s="13" t="s">
        <v>86</v>
      </c>
      <c r="AN4" s="13" t="s">
        <v>87</v>
      </c>
    </row>
    <row r="5" spans="1:40" x14ac:dyDescent="0.3">
      <c r="A5" s="14" t="str">
        <f>IF(INDEX(Workers!$B:$B,ROW())="","",INDEX(Workers!$B:$B,ROW()))</f>
        <v>W-01</v>
      </c>
      <c r="B5" s="21" t="str">
        <f>IF(INDEX(Workers!$C:$C,ROW())="","",INDEX(Workers!$C:$C,ROW()))</f>
        <v>Ramesh (EXAMPLE, clear me)</v>
      </c>
      <c r="C5" s="21" t="str">
        <f>IF(INDEX(Workers!$D:$D,ROW())="","",INDEX(Workers!$D:$D,ROW()))</f>
        <v>Mason</v>
      </c>
      <c r="D5" s="22">
        <f>IF(INDEX(Workers!$E:$E,ROW())="","",INDEX(Workers!$E:$E,ROW()))</f>
        <v>900</v>
      </c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4">
        <f t="shared" ref="AJ5:AJ44" si="0">IF(B5="","",SUMPRODUCT((E$3:AI$3&lt;&gt;"")*(E5:AI5="P"))+0.5*SUMPRODUCT((E$3:AI$3&lt;&gt;"")*(E5:AI5="H"))+SUMPRODUCT((E$3:AI$3&lt;&gt;"")*ISNUMBER(E5:AI5)))</f>
        <v>0</v>
      </c>
      <c r="AK5" s="24">
        <f t="shared" ref="AK5:AK44" si="1">IF(B5="","",SUMPRODUCT((E$3:AI$3&lt;&gt;"")*ISNUMBER(E5:AI5),E5:AI5))</f>
        <v>0</v>
      </c>
      <c r="AL5" s="25">
        <f>IF(B5="","",AJ5*N(D5)+AK5*N(D5)/Setup!$B$6*Setup!$B$7)</f>
        <v>0</v>
      </c>
      <c r="AM5" s="25">
        <f>IF(B5="","",SUMIFS(Payments!$D$5:$D$304,Payments!$B$5:$B$304,A5,Payments!$A$5:$A$304,"&gt;="&amp;DATE(Setup!$B$4,5,1),Payments!$A$5:$A$304,"&lt;="&amp;EOMONTH(DATE(Setup!$B$4,5,1),0)))</f>
        <v>0</v>
      </c>
      <c r="AN5" s="25">
        <f t="shared" ref="AN5:AN44" si="2">IF(B5="","",AL5-AM5)</f>
        <v>0</v>
      </c>
    </row>
    <row r="6" spans="1:40" x14ac:dyDescent="0.3">
      <c r="A6" s="14" t="str">
        <f>IF(INDEX(Workers!$B:$B,ROW())="","",INDEX(Workers!$B:$B,ROW()))</f>
        <v/>
      </c>
      <c r="B6" s="21" t="str">
        <f>IF(INDEX(Workers!$C:$C,ROW())="","",INDEX(Workers!$C:$C,ROW()))</f>
        <v/>
      </c>
      <c r="C6" s="21" t="str">
        <f>IF(INDEX(Workers!$D:$D,ROW())="","",INDEX(Workers!$D:$D,ROW()))</f>
        <v/>
      </c>
      <c r="D6" s="22" t="str">
        <f>IF(INDEX(Workers!$E:$E,ROW())="","",INDEX(Workers!$E:$E,ROW()))</f>
        <v/>
      </c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4" t="str">
        <f t="shared" si="0"/>
        <v/>
      </c>
      <c r="AK6" s="24" t="str">
        <f t="shared" si="1"/>
        <v/>
      </c>
      <c r="AL6" s="25" t="str">
        <f>IF(B6="","",AJ6*N(D6)+AK6*N(D6)/Setup!$B$6*Setup!$B$7)</f>
        <v/>
      </c>
      <c r="AM6" s="25" t="str">
        <f>IF(B6="","",SUMIFS(Payments!$D$5:$D$304,Payments!$B$5:$B$304,A6,Payments!$A$5:$A$304,"&gt;="&amp;DATE(Setup!$B$4,5,1),Payments!$A$5:$A$304,"&lt;="&amp;EOMONTH(DATE(Setup!$B$4,5,1),0)))</f>
        <v/>
      </c>
      <c r="AN6" s="25" t="str">
        <f t="shared" si="2"/>
        <v/>
      </c>
    </row>
    <row r="7" spans="1:40" x14ac:dyDescent="0.3">
      <c r="A7" s="14" t="str">
        <f>IF(INDEX(Workers!$B:$B,ROW())="","",INDEX(Workers!$B:$B,ROW()))</f>
        <v/>
      </c>
      <c r="B7" s="21" t="str">
        <f>IF(INDEX(Workers!$C:$C,ROW())="","",INDEX(Workers!$C:$C,ROW()))</f>
        <v/>
      </c>
      <c r="C7" s="21" t="str">
        <f>IF(INDEX(Workers!$D:$D,ROW())="","",INDEX(Workers!$D:$D,ROW()))</f>
        <v/>
      </c>
      <c r="D7" s="22" t="str">
        <f>IF(INDEX(Workers!$E:$E,ROW())="","",INDEX(Workers!$E:$E,ROW()))</f>
        <v/>
      </c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4" t="str">
        <f t="shared" si="0"/>
        <v/>
      </c>
      <c r="AK7" s="24" t="str">
        <f t="shared" si="1"/>
        <v/>
      </c>
      <c r="AL7" s="25" t="str">
        <f>IF(B7="","",AJ7*N(D7)+AK7*N(D7)/Setup!$B$6*Setup!$B$7)</f>
        <v/>
      </c>
      <c r="AM7" s="25" t="str">
        <f>IF(B7="","",SUMIFS(Payments!$D$5:$D$304,Payments!$B$5:$B$304,A7,Payments!$A$5:$A$304,"&gt;="&amp;DATE(Setup!$B$4,5,1),Payments!$A$5:$A$304,"&lt;="&amp;EOMONTH(DATE(Setup!$B$4,5,1),0)))</f>
        <v/>
      </c>
      <c r="AN7" s="25" t="str">
        <f t="shared" si="2"/>
        <v/>
      </c>
    </row>
    <row r="8" spans="1:40" x14ac:dyDescent="0.3">
      <c r="A8" s="14" t="str">
        <f>IF(INDEX(Workers!$B:$B,ROW())="","",INDEX(Workers!$B:$B,ROW()))</f>
        <v/>
      </c>
      <c r="B8" s="21" t="str">
        <f>IF(INDEX(Workers!$C:$C,ROW())="","",INDEX(Workers!$C:$C,ROW()))</f>
        <v/>
      </c>
      <c r="C8" s="21" t="str">
        <f>IF(INDEX(Workers!$D:$D,ROW())="","",INDEX(Workers!$D:$D,ROW()))</f>
        <v/>
      </c>
      <c r="D8" s="22" t="str">
        <f>IF(INDEX(Workers!$E:$E,ROW())="","",INDEX(Workers!$E:$E,ROW()))</f>
        <v/>
      </c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4" t="str">
        <f t="shared" si="0"/>
        <v/>
      </c>
      <c r="AK8" s="24" t="str">
        <f t="shared" si="1"/>
        <v/>
      </c>
      <c r="AL8" s="25" t="str">
        <f>IF(B8="","",AJ8*N(D8)+AK8*N(D8)/Setup!$B$6*Setup!$B$7)</f>
        <v/>
      </c>
      <c r="AM8" s="25" t="str">
        <f>IF(B8="","",SUMIFS(Payments!$D$5:$D$304,Payments!$B$5:$B$304,A8,Payments!$A$5:$A$304,"&gt;="&amp;DATE(Setup!$B$4,5,1),Payments!$A$5:$A$304,"&lt;="&amp;EOMONTH(DATE(Setup!$B$4,5,1),0)))</f>
        <v/>
      </c>
      <c r="AN8" s="25" t="str">
        <f t="shared" si="2"/>
        <v/>
      </c>
    </row>
    <row r="9" spans="1:40" x14ac:dyDescent="0.3">
      <c r="A9" s="14" t="str">
        <f>IF(INDEX(Workers!$B:$B,ROW())="","",INDEX(Workers!$B:$B,ROW()))</f>
        <v/>
      </c>
      <c r="B9" s="21" t="str">
        <f>IF(INDEX(Workers!$C:$C,ROW())="","",INDEX(Workers!$C:$C,ROW()))</f>
        <v/>
      </c>
      <c r="C9" s="21" t="str">
        <f>IF(INDEX(Workers!$D:$D,ROW())="","",INDEX(Workers!$D:$D,ROW()))</f>
        <v/>
      </c>
      <c r="D9" s="22" t="str">
        <f>IF(INDEX(Workers!$E:$E,ROW())="","",INDEX(Workers!$E:$E,ROW()))</f>
        <v/>
      </c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4" t="str">
        <f t="shared" si="0"/>
        <v/>
      </c>
      <c r="AK9" s="24" t="str">
        <f t="shared" si="1"/>
        <v/>
      </c>
      <c r="AL9" s="25" t="str">
        <f>IF(B9="","",AJ9*N(D9)+AK9*N(D9)/Setup!$B$6*Setup!$B$7)</f>
        <v/>
      </c>
      <c r="AM9" s="25" t="str">
        <f>IF(B9="","",SUMIFS(Payments!$D$5:$D$304,Payments!$B$5:$B$304,A9,Payments!$A$5:$A$304,"&gt;="&amp;DATE(Setup!$B$4,5,1),Payments!$A$5:$A$304,"&lt;="&amp;EOMONTH(DATE(Setup!$B$4,5,1),0)))</f>
        <v/>
      </c>
      <c r="AN9" s="25" t="str">
        <f t="shared" si="2"/>
        <v/>
      </c>
    </row>
    <row r="10" spans="1:40" x14ac:dyDescent="0.3">
      <c r="A10" s="14" t="str">
        <f>IF(INDEX(Workers!$B:$B,ROW())="","",INDEX(Workers!$B:$B,ROW()))</f>
        <v/>
      </c>
      <c r="B10" s="21" t="str">
        <f>IF(INDEX(Workers!$C:$C,ROW())="","",INDEX(Workers!$C:$C,ROW()))</f>
        <v/>
      </c>
      <c r="C10" s="21" t="str">
        <f>IF(INDEX(Workers!$D:$D,ROW())="","",INDEX(Workers!$D:$D,ROW()))</f>
        <v/>
      </c>
      <c r="D10" s="22" t="str">
        <f>IF(INDEX(Workers!$E:$E,ROW())="","",INDEX(Workers!$E:$E,ROW()))</f>
        <v/>
      </c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4" t="str">
        <f t="shared" si="0"/>
        <v/>
      </c>
      <c r="AK10" s="24" t="str">
        <f t="shared" si="1"/>
        <v/>
      </c>
      <c r="AL10" s="25" t="str">
        <f>IF(B10="","",AJ10*N(D10)+AK10*N(D10)/Setup!$B$6*Setup!$B$7)</f>
        <v/>
      </c>
      <c r="AM10" s="25" t="str">
        <f>IF(B10="","",SUMIFS(Payments!$D$5:$D$304,Payments!$B$5:$B$304,A10,Payments!$A$5:$A$304,"&gt;="&amp;DATE(Setup!$B$4,5,1),Payments!$A$5:$A$304,"&lt;="&amp;EOMONTH(DATE(Setup!$B$4,5,1),0)))</f>
        <v/>
      </c>
      <c r="AN10" s="25" t="str">
        <f t="shared" si="2"/>
        <v/>
      </c>
    </row>
    <row r="11" spans="1:40" x14ac:dyDescent="0.3">
      <c r="A11" s="14" t="str">
        <f>IF(INDEX(Workers!$B:$B,ROW())="","",INDEX(Workers!$B:$B,ROW()))</f>
        <v/>
      </c>
      <c r="B11" s="21" t="str">
        <f>IF(INDEX(Workers!$C:$C,ROW())="","",INDEX(Workers!$C:$C,ROW()))</f>
        <v/>
      </c>
      <c r="C11" s="21" t="str">
        <f>IF(INDEX(Workers!$D:$D,ROW())="","",INDEX(Workers!$D:$D,ROW()))</f>
        <v/>
      </c>
      <c r="D11" s="22" t="str">
        <f>IF(INDEX(Workers!$E:$E,ROW())="","",INDEX(Workers!$E:$E,ROW()))</f>
        <v/>
      </c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4" t="str">
        <f t="shared" si="0"/>
        <v/>
      </c>
      <c r="AK11" s="24" t="str">
        <f t="shared" si="1"/>
        <v/>
      </c>
      <c r="AL11" s="25" t="str">
        <f>IF(B11="","",AJ11*N(D11)+AK11*N(D11)/Setup!$B$6*Setup!$B$7)</f>
        <v/>
      </c>
      <c r="AM11" s="25" t="str">
        <f>IF(B11="","",SUMIFS(Payments!$D$5:$D$304,Payments!$B$5:$B$304,A11,Payments!$A$5:$A$304,"&gt;="&amp;DATE(Setup!$B$4,5,1),Payments!$A$5:$A$304,"&lt;="&amp;EOMONTH(DATE(Setup!$B$4,5,1),0)))</f>
        <v/>
      </c>
      <c r="AN11" s="25" t="str">
        <f t="shared" si="2"/>
        <v/>
      </c>
    </row>
    <row r="12" spans="1:40" x14ac:dyDescent="0.3">
      <c r="A12" s="14" t="str">
        <f>IF(INDEX(Workers!$B:$B,ROW())="","",INDEX(Workers!$B:$B,ROW()))</f>
        <v/>
      </c>
      <c r="B12" s="21" t="str">
        <f>IF(INDEX(Workers!$C:$C,ROW())="","",INDEX(Workers!$C:$C,ROW()))</f>
        <v/>
      </c>
      <c r="C12" s="21" t="str">
        <f>IF(INDEX(Workers!$D:$D,ROW())="","",INDEX(Workers!$D:$D,ROW()))</f>
        <v/>
      </c>
      <c r="D12" s="22" t="str">
        <f>IF(INDEX(Workers!$E:$E,ROW())="","",INDEX(Workers!$E:$E,ROW()))</f>
        <v/>
      </c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4" t="str">
        <f t="shared" si="0"/>
        <v/>
      </c>
      <c r="AK12" s="24" t="str">
        <f t="shared" si="1"/>
        <v/>
      </c>
      <c r="AL12" s="25" t="str">
        <f>IF(B12="","",AJ12*N(D12)+AK12*N(D12)/Setup!$B$6*Setup!$B$7)</f>
        <v/>
      </c>
      <c r="AM12" s="25" t="str">
        <f>IF(B12="","",SUMIFS(Payments!$D$5:$D$304,Payments!$B$5:$B$304,A12,Payments!$A$5:$A$304,"&gt;="&amp;DATE(Setup!$B$4,5,1),Payments!$A$5:$A$304,"&lt;="&amp;EOMONTH(DATE(Setup!$B$4,5,1),0)))</f>
        <v/>
      </c>
      <c r="AN12" s="25" t="str">
        <f t="shared" si="2"/>
        <v/>
      </c>
    </row>
    <row r="13" spans="1:40" x14ac:dyDescent="0.3">
      <c r="A13" s="14" t="str">
        <f>IF(INDEX(Workers!$B:$B,ROW())="","",INDEX(Workers!$B:$B,ROW()))</f>
        <v/>
      </c>
      <c r="B13" s="21" t="str">
        <f>IF(INDEX(Workers!$C:$C,ROW())="","",INDEX(Workers!$C:$C,ROW()))</f>
        <v/>
      </c>
      <c r="C13" s="21" t="str">
        <f>IF(INDEX(Workers!$D:$D,ROW())="","",INDEX(Workers!$D:$D,ROW()))</f>
        <v/>
      </c>
      <c r="D13" s="22" t="str">
        <f>IF(INDEX(Workers!$E:$E,ROW())="","",INDEX(Workers!$E:$E,ROW()))</f>
        <v/>
      </c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4" t="str">
        <f t="shared" si="0"/>
        <v/>
      </c>
      <c r="AK13" s="24" t="str">
        <f t="shared" si="1"/>
        <v/>
      </c>
      <c r="AL13" s="25" t="str">
        <f>IF(B13="","",AJ13*N(D13)+AK13*N(D13)/Setup!$B$6*Setup!$B$7)</f>
        <v/>
      </c>
      <c r="AM13" s="25" t="str">
        <f>IF(B13="","",SUMIFS(Payments!$D$5:$D$304,Payments!$B$5:$B$304,A13,Payments!$A$5:$A$304,"&gt;="&amp;DATE(Setup!$B$4,5,1),Payments!$A$5:$A$304,"&lt;="&amp;EOMONTH(DATE(Setup!$B$4,5,1),0)))</f>
        <v/>
      </c>
      <c r="AN13" s="25" t="str">
        <f t="shared" si="2"/>
        <v/>
      </c>
    </row>
    <row r="14" spans="1:40" x14ac:dyDescent="0.3">
      <c r="A14" s="14" t="str">
        <f>IF(INDEX(Workers!$B:$B,ROW())="","",INDEX(Workers!$B:$B,ROW()))</f>
        <v/>
      </c>
      <c r="B14" s="21" t="str">
        <f>IF(INDEX(Workers!$C:$C,ROW())="","",INDEX(Workers!$C:$C,ROW()))</f>
        <v/>
      </c>
      <c r="C14" s="21" t="str">
        <f>IF(INDEX(Workers!$D:$D,ROW())="","",INDEX(Workers!$D:$D,ROW()))</f>
        <v/>
      </c>
      <c r="D14" s="22" t="str">
        <f>IF(INDEX(Workers!$E:$E,ROW())="","",INDEX(Workers!$E:$E,ROW()))</f>
        <v/>
      </c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4" t="str">
        <f t="shared" si="0"/>
        <v/>
      </c>
      <c r="AK14" s="24" t="str">
        <f t="shared" si="1"/>
        <v/>
      </c>
      <c r="AL14" s="25" t="str">
        <f>IF(B14="","",AJ14*N(D14)+AK14*N(D14)/Setup!$B$6*Setup!$B$7)</f>
        <v/>
      </c>
      <c r="AM14" s="25" t="str">
        <f>IF(B14="","",SUMIFS(Payments!$D$5:$D$304,Payments!$B$5:$B$304,A14,Payments!$A$5:$A$304,"&gt;="&amp;DATE(Setup!$B$4,5,1),Payments!$A$5:$A$304,"&lt;="&amp;EOMONTH(DATE(Setup!$B$4,5,1),0)))</f>
        <v/>
      </c>
      <c r="AN14" s="25" t="str">
        <f t="shared" si="2"/>
        <v/>
      </c>
    </row>
    <row r="15" spans="1:40" x14ac:dyDescent="0.3">
      <c r="A15" s="14" t="str">
        <f>IF(INDEX(Workers!$B:$B,ROW())="","",INDEX(Workers!$B:$B,ROW()))</f>
        <v/>
      </c>
      <c r="B15" s="21" t="str">
        <f>IF(INDEX(Workers!$C:$C,ROW())="","",INDEX(Workers!$C:$C,ROW()))</f>
        <v/>
      </c>
      <c r="C15" s="21" t="str">
        <f>IF(INDEX(Workers!$D:$D,ROW())="","",INDEX(Workers!$D:$D,ROW()))</f>
        <v/>
      </c>
      <c r="D15" s="22" t="str">
        <f>IF(INDEX(Workers!$E:$E,ROW())="","",INDEX(Workers!$E:$E,ROW()))</f>
        <v/>
      </c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4" t="str">
        <f t="shared" si="0"/>
        <v/>
      </c>
      <c r="AK15" s="24" t="str">
        <f t="shared" si="1"/>
        <v/>
      </c>
      <c r="AL15" s="25" t="str">
        <f>IF(B15="","",AJ15*N(D15)+AK15*N(D15)/Setup!$B$6*Setup!$B$7)</f>
        <v/>
      </c>
      <c r="AM15" s="25" t="str">
        <f>IF(B15="","",SUMIFS(Payments!$D$5:$D$304,Payments!$B$5:$B$304,A15,Payments!$A$5:$A$304,"&gt;="&amp;DATE(Setup!$B$4,5,1),Payments!$A$5:$A$304,"&lt;="&amp;EOMONTH(DATE(Setup!$B$4,5,1),0)))</f>
        <v/>
      </c>
      <c r="AN15" s="25" t="str">
        <f t="shared" si="2"/>
        <v/>
      </c>
    </row>
    <row r="16" spans="1:40" x14ac:dyDescent="0.3">
      <c r="A16" s="14" t="str">
        <f>IF(INDEX(Workers!$B:$B,ROW())="","",INDEX(Workers!$B:$B,ROW()))</f>
        <v/>
      </c>
      <c r="B16" s="21" t="str">
        <f>IF(INDEX(Workers!$C:$C,ROW())="","",INDEX(Workers!$C:$C,ROW()))</f>
        <v/>
      </c>
      <c r="C16" s="21" t="str">
        <f>IF(INDEX(Workers!$D:$D,ROW())="","",INDEX(Workers!$D:$D,ROW()))</f>
        <v/>
      </c>
      <c r="D16" s="22" t="str">
        <f>IF(INDEX(Workers!$E:$E,ROW())="","",INDEX(Workers!$E:$E,ROW()))</f>
        <v/>
      </c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4" t="str">
        <f t="shared" si="0"/>
        <v/>
      </c>
      <c r="AK16" s="24" t="str">
        <f t="shared" si="1"/>
        <v/>
      </c>
      <c r="AL16" s="25" t="str">
        <f>IF(B16="","",AJ16*N(D16)+AK16*N(D16)/Setup!$B$6*Setup!$B$7)</f>
        <v/>
      </c>
      <c r="AM16" s="25" t="str">
        <f>IF(B16="","",SUMIFS(Payments!$D$5:$D$304,Payments!$B$5:$B$304,A16,Payments!$A$5:$A$304,"&gt;="&amp;DATE(Setup!$B$4,5,1),Payments!$A$5:$A$304,"&lt;="&amp;EOMONTH(DATE(Setup!$B$4,5,1),0)))</f>
        <v/>
      </c>
      <c r="AN16" s="25" t="str">
        <f t="shared" si="2"/>
        <v/>
      </c>
    </row>
    <row r="17" spans="1:40" x14ac:dyDescent="0.3">
      <c r="A17" s="14" t="str">
        <f>IF(INDEX(Workers!$B:$B,ROW())="","",INDEX(Workers!$B:$B,ROW()))</f>
        <v/>
      </c>
      <c r="B17" s="21" t="str">
        <f>IF(INDEX(Workers!$C:$C,ROW())="","",INDEX(Workers!$C:$C,ROW()))</f>
        <v/>
      </c>
      <c r="C17" s="21" t="str">
        <f>IF(INDEX(Workers!$D:$D,ROW())="","",INDEX(Workers!$D:$D,ROW()))</f>
        <v/>
      </c>
      <c r="D17" s="22" t="str">
        <f>IF(INDEX(Workers!$E:$E,ROW())="","",INDEX(Workers!$E:$E,ROW()))</f>
        <v/>
      </c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4" t="str">
        <f t="shared" si="0"/>
        <v/>
      </c>
      <c r="AK17" s="24" t="str">
        <f t="shared" si="1"/>
        <v/>
      </c>
      <c r="AL17" s="25" t="str">
        <f>IF(B17="","",AJ17*N(D17)+AK17*N(D17)/Setup!$B$6*Setup!$B$7)</f>
        <v/>
      </c>
      <c r="AM17" s="25" t="str">
        <f>IF(B17="","",SUMIFS(Payments!$D$5:$D$304,Payments!$B$5:$B$304,A17,Payments!$A$5:$A$304,"&gt;="&amp;DATE(Setup!$B$4,5,1),Payments!$A$5:$A$304,"&lt;="&amp;EOMONTH(DATE(Setup!$B$4,5,1),0)))</f>
        <v/>
      </c>
      <c r="AN17" s="25" t="str">
        <f t="shared" si="2"/>
        <v/>
      </c>
    </row>
    <row r="18" spans="1:40" x14ac:dyDescent="0.3">
      <c r="A18" s="14" t="str">
        <f>IF(INDEX(Workers!$B:$B,ROW())="","",INDEX(Workers!$B:$B,ROW()))</f>
        <v/>
      </c>
      <c r="B18" s="21" t="str">
        <f>IF(INDEX(Workers!$C:$C,ROW())="","",INDEX(Workers!$C:$C,ROW()))</f>
        <v/>
      </c>
      <c r="C18" s="21" t="str">
        <f>IF(INDEX(Workers!$D:$D,ROW())="","",INDEX(Workers!$D:$D,ROW()))</f>
        <v/>
      </c>
      <c r="D18" s="22" t="str">
        <f>IF(INDEX(Workers!$E:$E,ROW())="","",INDEX(Workers!$E:$E,ROW()))</f>
        <v/>
      </c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4" t="str">
        <f t="shared" si="0"/>
        <v/>
      </c>
      <c r="AK18" s="24" t="str">
        <f t="shared" si="1"/>
        <v/>
      </c>
      <c r="AL18" s="25" t="str">
        <f>IF(B18="","",AJ18*N(D18)+AK18*N(D18)/Setup!$B$6*Setup!$B$7)</f>
        <v/>
      </c>
      <c r="AM18" s="25" t="str">
        <f>IF(B18="","",SUMIFS(Payments!$D$5:$D$304,Payments!$B$5:$B$304,A18,Payments!$A$5:$A$304,"&gt;="&amp;DATE(Setup!$B$4,5,1),Payments!$A$5:$A$304,"&lt;="&amp;EOMONTH(DATE(Setup!$B$4,5,1),0)))</f>
        <v/>
      </c>
      <c r="AN18" s="25" t="str">
        <f t="shared" si="2"/>
        <v/>
      </c>
    </row>
    <row r="19" spans="1:40" x14ac:dyDescent="0.3">
      <c r="A19" s="14" t="str">
        <f>IF(INDEX(Workers!$B:$B,ROW())="","",INDEX(Workers!$B:$B,ROW()))</f>
        <v/>
      </c>
      <c r="B19" s="21" t="str">
        <f>IF(INDEX(Workers!$C:$C,ROW())="","",INDEX(Workers!$C:$C,ROW()))</f>
        <v/>
      </c>
      <c r="C19" s="21" t="str">
        <f>IF(INDEX(Workers!$D:$D,ROW())="","",INDEX(Workers!$D:$D,ROW()))</f>
        <v/>
      </c>
      <c r="D19" s="22" t="str">
        <f>IF(INDEX(Workers!$E:$E,ROW())="","",INDEX(Workers!$E:$E,ROW()))</f>
        <v/>
      </c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4" t="str">
        <f t="shared" si="0"/>
        <v/>
      </c>
      <c r="AK19" s="24" t="str">
        <f t="shared" si="1"/>
        <v/>
      </c>
      <c r="AL19" s="25" t="str">
        <f>IF(B19="","",AJ19*N(D19)+AK19*N(D19)/Setup!$B$6*Setup!$B$7)</f>
        <v/>
      </c>
      <c r="AM19" s="25" t="str">
        <f>IF(B19="","",SUMIFS(Payments!$D$5:$D$304,Payments!$B$5:$B$304,A19,Payments!$A$5:$A$304,"&gt;="&amp;DATE(Setup!$B$4,5,1),Payments!$A$5:$A$304,"&lt;="&amp;EOMONTH(DATE(Setup!$B$4,5,1),0)))</f>
        <v/>
      </c>
      <c r="AN19" s="25" t="str">
        <f t="shared" si="2"/>
        <v/>
      </c>
    </row>
    <row r="20" spans="1:40" x14ac:dyDescent="0.3">
      <c r="A20" s="14" t="str">
        <f>IF(INDEX(Workers!$B:$B,ROW())="","",INDEX(Workers!$B:$B,ROW()))</f>
        <v/>
      </c>
      <c r="B20" s="21" t="str">
        <f>IF(INDEX(Workers!$C:$C,ROW())="","",INDEX(Workers!$C:$C,ROW()))</f>
        <v/>
      </c>
      <c r="C20" s="21" t="str">
        <f>IF(INDEX(Workers!$D:$D,ROW())="","",INDEX(Workers!$D:$D,ROW()))</f>
        <v/>
      </c>
      <c r="D20" s="22" t="str">
        <f>IF(INDEX(Workers!$E:$E,ROW())="","",INDEX(Workers!$E:$E,ROW()))</f>
        <v/>
      </c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4" t="str">
        <f t="shared" si="0"/>
        <v/>
      </c>
      <c r="AK20" s="24" t="str">
        <f t="shared" si="1"/>
        <v/>
      </c>
      <c r="AL20" s="25" t="str">
        <f>IF(B20="","",AJ20*N(D20)+AK20*N(D20)/Setup!$B$6*Setup!$B$7)</f>
        <v/>
      </c>
      <c r="AM20" s="25" t="str">
        <f>IF(B20="","",SUMIFS(Payments!$D$5:$D$304,Payments!$B$5:$B$304,A20,Payments!$A$5:$A$304,"&gt;="&amp;DATE(Setup!$B$4,5,1),Payments!$A$5:$A$304,"&lt;="&amp;EOMONTH(DATE(Setup!$B$4,5,1),0)))</f>
        <v/>
      </c>
      <c r="AN20" s="25" t="str">
        <f t="shared" si="2"/>
        <v/>
      </c>
    </row>
    <row r="21" spans="1:40" x14ac:dyDescent="0.3">
      <c r="A21" s="14" t="str">
        <f>IF(INDEX(Workers!$B:$B,ROW())="","",INDEX(Workers!$B:$B,ROW()))</f>
        <v/>
      </c>
      <c r="B21" s="21" t="str">
        <f>IF(INDEX(Workers!$C:$C,ROW())="","",INDEX(Workers!$C:$C,ROW()))</f>
        <v/>
      </c>
      <c r="C21" s="21" t="str">
        <f>IF(INDEX(Workers!$D:$D,ROW())="","",INDEX(Workers!$D:$D,ROW()))</f>
        <v/>
      </c>
      <c r="D21" s="22" t="str">
        <f>IF(INDEX(Workers!$E:$E,ROW())="","",INDEX(Workers!$E:$E,ROW()))</f>
        <v/>
      </c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4" t="str">
        <f t="shared" si="0"/>
        <v/>
      </c>
      <c r="AK21" s="24" t="str">
        <f t="shared" si="1"/>
        <v/>
      </c>
      <c r="AL21" s="25" t="str">
        <f>IF(B21="","",AJ21*N(D21)+AK21*N(D21)/Setup!$B$6*Setup!$B$7)</f>
        <v/>
      </c>
      <c r="AM21" s="25" t="str">
        <f>IF(B21="","",SUMIFS(Payments!$D$5:$D$304,Payments!$B$5:$B$304,A21,Payments!$A$5:$A$304,"&gt;="&amp;DATE(Setup!$B$4,5,1),Payments!$A$5:$A$304,"&lt;="&amp;EOMONTH(DATE(Setup!$B$4,5,1),0)))</f>
        <v/>
      </c>
      <c r="AN21" s="25" t="str">
        <f t="shared" si="2"/>
        <v/>
      </c>
    </row>
    <row r="22" spans="1:40" x14ac:dyDescent="0.3">
      <c r="A22" s="14" t="str">
        <f>IF(INDEX(Workers!$B:$B,ROW())="","",INDEX(Workers!$B:$B,ROW()))</f>
        <v/>
      </c>
      <c r="B22" s="21" t="str">
        <f>IF(INDEX(Workers!$C:$C,ROW())="","",INDEX(Workers!$C:$C,ROW()))</f>
        <v/>
      </c>
      <c r="C22" s="21" t="str">
        <f>IF(INDEX(Workers!$D:$D,ROW())="","",INDEX(Workers!$D:$D,ROW()))</f>
        <v/>
      </c>
      <c r="D22" s="22" t="str">
        <f>IF(INDEX(Workers!$E:$E,ROW())="","",INDEX(Workers!$E:$E,ROW()))</f>
        <v/>
      </c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4" t="str">
        <f t="shared" si="0"/>
        <v/>
      </c>
      <c r="AK22" s="24" t="str">
        <f t="shared" si="1"/>
        <v/>
      </c>
      <c r="AL22" s="25" t="str">
        <f>IF(B22="","",AJ22*N(D22)+AK22*N(D22)/Setup!$B$6*Setup!$B$7)</f>
        <v/>
      </c>
      <c r="AM22" s="25" t="str">
        <f>IF(B22="","",SUMIFS(Payments!$D$5:$D$304,Payments!$B$5:$B$304,A22,Payments!$A$5:$A$304,"&gt;="&amp;DATE(Setup!$B$4,5,1),Payments!$A$5:$A$304,"&lt;="&amp;EOMONTH(DATE(Setup!$B$4,5,1),0)))</f>
        <v/>
      </c>
      <c r="AN22" s="25" t="str">
        <f t="shared" si="2"/>
        <v/>
      </c>
    </row>
    <row r="23" spans="1:40" x14ac:dyDescent="0.3">
      <c r="A23" s="14" t="str">
        <f>IF(INDEX(Workers!$B:$B,ROW())="","",INDEX(Workers!$B:$B,ROW()))</f>
        <v/>
      </c>
      <c r="B23" s="21" t="str">
        <f>IF(INDEX(Workers!$C:$C,ROW())="","",INDEX(Workers!$C:$C,ROW()))</f>
        <v/>
      </c>
      <c r="C23" s="21" t="str">
        <f>IF(INDEX(Workers!$D:$D,ROW())="","",INDEX(Workers!$D:$D,ROW()))</f>
        <v/>
      </c>
      <c r="D23" s="22" t="str">
        <f>IF(INDEX(Workers!$E:$E,ROW())="","",INDEX(Workers!$E:$E,ROW()))</f>
        <v/>
      </c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4" t="str">
        <f t="shared" si="0"/>
        <v/>
      </c>
      <c r="AK23" s="24" t="str">
        <f t="shared" si="1"/>
        <v/>
      </c>
      <c r="AL23" s="25" t="str">
        <f>IF(B23="","",AJ23*N(D23)+AK23*N(D23)/Setup!$B$6*Setup!$B$7)</f>
        <v/>
      </c>
      <c r="AM23" s="25" t="str">
        <f>IF(B23="","",SUMIFS(Payments!$D$5:$D$304,Payments!$B$5:$B$304,A23,Payments!$A$5:$A$304,"&gt;="&amp;DATE(Setup!$B$4,5,1),Payments!$A$5:$A$304,"&lt;="&amp;EOMONTH(DATE(Setup!$B$4,5,1),0)))</f>
        <v/>
      </c>
      <c r="AN23" s="25" t="str">
        <f t="shared" si="2"/>
        <v/>
      </c>
    </row>
    <row r="24" spans="1:40" x14ac:dyDescent="0.3">
      <c r="A24" s="14" t="str">
        <f>IF(INDEX(Workers!$B:$B,ROW())="","",INDEX(Workers!$B:$B,ROW()))</f>
        <v/>
      </c>
      <c r="B24" s="21" t="str">
        <f>IF(INDEX(Workers!$C:$C,ROW())="","",INDEX(Workers!$C:$C,ROW()))</f>
        <v/>
      </c>
      <c r="C24" s="21" t="str">
        <f>IF(INDEX(Workers!$D:$D,ROW())="","",INDEX(Workers!$D:$D,ROW()))</f>
        <v/>
      </c>
      <c r="D24" s="22" t="str">
        <f>IF(INDEX(Workers!$E:$E,ROW())="","",INDEX(Workers!$E:$E,ROW()))</f>
        <v/>
      </c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4" t="str">
        <f t="shared" si="0"/>
        <v/>
      </c>
      <c r="AK24" s="24" t="str">
        <f t="shared" si="1"/>
        <v/>
      </c>
      <c r="AL24" s="25" t="str">
        <f>IF(B24="","",AJ24*N(D24)+AK24*N(D24)/Setup!$B$6*Setup!$B$7)</f>
        <v/>
      </c>
      <c r="AM24" s="25" t="str">
        <f>IF(B24="","",SUMIFS(Payments!$D$5:$D$304,Payments!$B$5:$B$304,A24,Payments!$A$5:$A$304,"&gt;="&amp;DATE(Setup!$B$4,5,1),Payments!$A$5:$A$304,"&lt;="&amp;EOMONTH(DATE(Setup!$B$4,5,1),0)))</f>
        <v/>
      </c>
      <c r="AN24" s="25" t="str">
        <f t="shared" si="2"/>
        <v/>
      </c>
    </row>
    <row r="25" spans="1:40" x14ac:dyDescent="0.3">
      <c r="A25" s="14" t="str">
        <f>IF(INDEX(Workers!$B:$B,ROW())="","",INDEX(Workers!$B:$B,ROW()))</f>
        <v/>
      </c>
      <c r="B25" s="21" t="str">
        <f>IF(INDEX(Workers!$C:$C,ROW())="","",INDEX(Workers!$C:$C,ROW()))</f>
        <v/>
      </c>
      <c r="C25" s="21" t="str">
        <f>IF(INDEX(Workers!$D:$D,ROW())="","",INDEX(Workers!$D:$D,ROW()))</f>
        <v/>
      </c>
      <c r="D25" s="22" t="str">
        <f>IF(INDEX(Workers!$E:$E,ROW())="","",INDEX(Workers!$E:$E,ROW()))</f>
        <v/>
      </c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4" t="str">
        <f t="shared" si="0"/>
        <v/>
      </c>
      <c r="AK25" s="24" t="str">
        <f t="shared" si="1"/>
        <v/>
      </c>
      <c r="AL25" s="25" t="str">
        <f>IF(B25="","",AJ25*N(D25)+AK25*N(D25)/Setup!$B$6*Setup!$B$7)</f>
        <v/>
      </c>
      <c r="AM25" s="25" t="str">
        <f>IF(B25="","",SUMIFS(Payments!$D$5:$D$304,Payments!$B$5:$B$304,A25,Payments!$A$5:$A$304,"&gt;="&amp;DATE(Setup!$B$4,5,1),Payments!$A$5:$A$304,"&lt;="&amp;EOMONTH(DATE(Setup!$B$4,5,1),0)))</f>
        <v/>
      </c>
      <c r="AN25" s="25" t="str">
        <f t="shared" si="2"/>
        <v/>
      </c>
    </row>
    <row r="26" spans="1:40" x14ac:dyDescent="0.3">
      <c r="A26" s="14" t="str">
        <f>IF(INDEX(Workers!$B:$B,ROW())="","",INDEX(Workers!$B:$B,ROW()))</f>
        <v/>
      </c>
      <c r="B26" s="21" t="str">
        <f>IF(INDEX(Workers!$C:$C,ROW())="","",INDEX(Workers!$C:$C,ROW()))</f>
        <v/>
      </c>
      <c r="C26" s="21" t="str">
        <f>IF(INDEX(Workers!$D:$D,ROW())="","",INDEX(Workers!$D:$D,ROW()))</f>
        <v/>
      </c>
      <c r="D26" s="22" t="str">
        <f>IF(INDEX(Workers!$E:$E,ROW())="","",INDEX(Workers!$E:$E,ROW()))</f>
        <v/>
      </c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4" t="str">
        <f t="shared" si="0"/>
        <v/>
      </c>
      <c r="AK26" s="24" t="str">
        <f t="shared" si="1"/>
        <v/>
      </c>
      <c r="AL26" s="25" t="str">
        <f>IF(B26="","",AJ26*N(D26)+AK26*N(D26)/Setup!$B$6*Setup!$B$7)</f>
        <v/>
      </c>
      <c r="AM26" s="25" t="str">
        <f>IF(B26="","",SUMIFS(Payments!$D$5:$D$304,Payments!$B$5:$B$304,A26,Payments!$A$5:$A$304,"&gt;="&amp;DATE(Setup!$B$4,5,1),Payments!$A$5:$A$304,"&lt;="&amp;EOMONTH(DATE(Setup!$B$4,5,1),0)))</f>
        <v/>
      </c>
      <c r="AN26" s="25" t="str">
        <f t="shared" si="2"/>
        <v/>
      </c>
    </row>
    <row r="27" spans="1:40" x14ac:dyDescent="0.3">
      <c r="A27" s="14" t="str">
        <f>IF(INDEX(Workers!$B:$B,ROW())="","",INDEX(Workers!$B:$B,ROW()))</f>
        <v/>
      </c>
      <c r="B27" s="21" t="str">
        <f>IF(INDEX(Workers!$C:$C,ROW())="","",INDEX(Workers!$C:$C,ROW()))</f>
        <v/>
      </c>
      <c r="C27" s="21" t="str">
        <f>IF(INDEX(Workers!$D:$D,ROW())="","",INDEX(Workers!$D:$D,ROW()))</f>
        <v/>
      </c>
      <c r="D27" s="22" t="str">
        <f>IF(INDEX(Workers!$E:$E,ROW())="","",INDEX(Workers!$E:$E,ROW()))</f>
        <v/>
      </c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4" t="str">
        <f t="shared" si="0"/>
        <v/>
      </c>
      <c r="AK27" s="24" t="str">
        <f t="shared" si="1"/>
        <v/>
      </c>
      <c r="AL27" s="25" t="str">
        <f>IF(B27="","",AJ27*N(D27)+AK27*N(D27)/Setup!$B$6*Setup!$B$7)</f>
        <v/>
      </c>
      <c r="AM27" s="25" t="str">
        <f>IF(B27="","",SUMIFS(Payments!$D$5:$D$304,Payments!$B$5:$B$304,A27,Payments!$A$5:$A$304,"&gt;="&amp;DATE(Setup!$B$4,5,1),Payments!$A$5:$A$304,"&lt;="&amp;EOMONTH(DATE(Setup!$B$4,5,1),0)))</f>
        <v/>
      </c>
      <c r="AN27" s="25" t="str">
        <f t="shared" si="2"/>
        <v/>
      </c>
    </row>
    <row r="28" spans="1:40" x14ac:dyDescent="0.3">
      <c r="A28" s="14" t="str">
        <f>IF(INDEX(Workers!$B:$B,ROW())="","",INDEX(Workers!$B:$B,ROW()))</f>
        <v/>
      </c>
      <c r="B28" s="21" t="str">
        <f>IF(INDEX(Workers!$C:$C,ROW())="","",INDEX(Workers!$C:$C,ROW()))</f>
        <v/>
      </c>
      <c r="C28" s="21" t="str">
        <f>IF(INDEX(Workers!$D:$D,ROW())="","",INDEX(Workers!$D:$D,ROW()))</f>
        <v/>
      </c>
      <c r="D28" s="22" t="str">
        <f>IF(INDEX(Workers!$E:$E,ROW())="","",INDEX(Workers!$E:$E,ROW()))</f>
        <v/>
      </c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4" t="str">
        <f t="shared" si="0"/>
        <v/>
      </c>
      <c r="AK28" s="24" t="str">
        <f t="shared" si="1"/>
        <v/>
      </c>
      <c r="AL28" s="25" t="str">
        <f>IF(B28="","",AJ28*N(D28)+AK28*N(D28)/Setup!$B$6*Setup!$B$7)</f>
        <v/>
      </c>
      <c r="AM28" s="25" t="str">
        <f>IF(B28="","",SUMIFS(Payments!$D$5:$D$304,Payments!$B$5:$B$304,A28,Payments!$A$5:$A$304,"&gt;="&amp;DATE(Setup!$B$4,5,1),Payments!$A$5:$A$304,"&lt;="&amp;EOMONTH(DATE(Setup!$B$4,5,1),0)))</f>
        <v/>
      </c>
      <c r="AN28" s="25" t="str">
        <f t="shared" si="2"/>
        <v/>
      </c>
    </row>
    <row r="29" spans="1:40" x14ac:dyDescent="0.3">
      <c r="A29" s="14" t="str">
        <f>IF(INDEX(Workers!$B:$B,ROW())="","",INDEX(Workers!$B:$B,ROW()))</f>
        <v/>
      </c>
      <c r="B29" s="21" t="str">
        <f>IF(INDEX(Workers!$C:$C,ROW())="","",INDEX(Workers!$C:$C,ROW()))</f>
        <v/>
      </c>
      <c r="C29" s="21" t="str">
        <f>IF(INDEX(Workers!$D:$D,ROW())="","",INDEX(Workers!$D:$D,ROW()))</f>
        <v/>
      </c>
      <c r="D29" s="22" t="str">
        <f>IF(INDEX(Workers!$E:$E,ROW())="","",INDEX(Workers!$E:$E,ROW()))</f>
        <v/>
      </c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4" t="str">
        <f t="shared" si="0"/>
        <v/>
      </c>
      <c r="AK29" s="24" t="str">
        <f t="shared" si="1"/>
        <v/>
      </c>
      <c r="AL29" s="25" t="str">
        <f>IF(B29="","",AJ29*N(D29)+AK29*N(D29)/Setup!$B$6*Setup!$B$7)</f>
        <v/>
      </c>
      <c r="AM29" s="25" t="str">
        <f>IF(B29="","",SUMIFS(Payments!$D$5:$D$304,Payments!$B$5:$B$304,A29,Payments!$A$5:$A$304,"&gt;="&amp;DATE(Setup!$B$4,5,1),Payments!$A$5:$A$304,"&lt;="&amp;EOMONTH(DATE(Setup!$B$4,5,1),0)))</f>
        <v/>
      </c>
      <c r="AN29" s="25" t="str">
        <f t="shared" si="2"/>
        <v/>
      </c>
    </row>
    <row r="30" spans="1:40" x14ac:dyDescent="0.3">
      <c r="A30" s="14" t="str">
        <f>IF(INDEX(Workers!$B:$B,ROW())="","",INDEX(Workers!$B:$B,ROW()))</f>
        <v/>
      </c>
      <c r="B30" s="21" t="str">
        <f>IF(INDEX(Workers!$C:$C,ROW())="","",INDEX(Workers!$C:$C,ROW()))</f>
        <v/>
      </c>
      <c r="C30" s="21" t="str">
        <f>IF(INDEX(Workers!$D:$D,ROW())="","",INDEX(Workers!$D:$D,ROW()))</f>
        <v/>
      </c>
      <c r="D30" s="22" t="str">
        <f>IF(INDEX(Workers!$E:$E,ROW())="","",INDEX(Workers!$E:$E,ROW()))</f>
        <v/>
      </c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4" t="str">
        <f t="shared" si="0"/>
        <v/>
      </c>
      <c r="AK30" s="24" t="str">
        <f t="shared" si="1"/>
        <v/>
      </c>
      <c r="AL30" s="25" t="str">
        <f>IF(B30="","",AJ30*N(D30)+AK30*N(D30)/Setup!$B$6*Setup!$B$7)</f>
        <v/>
      </c>
      <c r="AM30" s="25" t="str">
        <f>IF(B30="","",SUMIFS(Payments!$D$5:$D$304,Payments!$B$5:$B$304,A30,Payments!$A$5:$A$304,"&gt;="&amp;DATE(Setup!$B$4,5,1),Payments!$A$5:$A$304,"&lt;="&amp;EOMONTH(DATE(Setup!$B$4,5,1),0)))</f>
        <v/>
      </c>
      <c r="AN30" s="25" t="str">
        <f t="shared" si="2"/>
        <v/>
      </c>
    </row>
    <row r="31" spans="1:40" x14ac:dyDescent="0.3">
      <c r="A31" s="14" t="str">
        <f>IF(INDEX(Workers!$B:$B,ROW())="","",INDEX(Workers!$B:$B,ROW()))</f>
        <v/>
      </c>
      <c r="B31" s="21" t="str">
        <f>IF(INDEX(Workers!$C:$C,ROW())="","",INDEX(Workers!$C:$C,ROW()))</f>
        <v/>
      </c>
      <c r="C31" s="21" t="str">
        <f>IF(INDEX(Workers!$D:$D,ROW())="","",INDEX(Workers!$D:$D,ROW()))</f>
        <v/>
      </c>
      <c r="D31" s="22" t="str">
        <f>IF(INDEX(Workers!$E:$E,ROW())="","",INDEX(Workers!$E:$E,ROW()))</f>
        <v/>
      </c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4" t="str">
        <f t="shared" si="0"/>
        <v/>
      </c>
      <c r="AK31" s="24" t="str">
        <f t="shared" si="1"/>
        <v/>
      </c>
      <c r="AL31" s="25" t="str">
        <f>IF(B31="","",AJ31*N(D31)+AK31*N(D31)/Setup!$B$6*Setup!$B$7)</f>
        <v/>
      </c>
      <c r="AM31" s="25" t="str">
        <f>IF(B31="","",SUMIFS(Payments!$D$5:$D$304,Payments!$B$5:$B$304,A31,Payments!$A$5:$A$304,"&gt;="&amp;DATE(Setup!$B$4,5,1),Payments!$A$5:$A$304,"&lt;="&amp;EOMONTH(DATE(Setup!$B$4,5,1),0)))</f>
        <v/>
      </c>
      <c r="AN31" s="25" t="str">
        <f t="shared" si="2"/>
        <v/>
      </c>
    </row>
    <row r="32" spans="1:40" x14ac:dyDescent="0.3">
      <c r="A32" s="14" t="str">
        <f>IF(INDEX(Workers!$B:$B,ROW())="","",INDEX(Workers!$B:$B,ROW()))</f>
        <v/>
      </c>
      <c r="B32" s="21" t="str">
        <f>IF(INDEX(Workers!$C:$C,ROW())="","",INDEX(Workers!$C:$C,ROW()))</f>
        <v/>
      </c>
      <c r="C32" s="21" t="str">
        <f>IF(INDEX(Workers!$D:$D,ROW())="","",INDEX(Workers!$D:$D,ROW()))</f>
        <v/>
      </c>
      <c r="D32" s="22" t="str">
        <f>IF(INDEX(Workers!$E:$E,ROW())="","",INDEX(Workers!$E:$E,ROW()))</f>
        <v/>
      </c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4" t="str">
        <f t="shared" si="0"/>
        <v/>
      </c>
      <c r="AK32" s="24" t="str">
        <f t="shared" si="1"/>
        <v/>
      </c>
      <c r="AL32" s="25" t="str">
        <f>IF(B32="","",AJ32*N(D32)+AK32*N(D32)/Setup!$B$6*Setup!$B$7)</f>
        <v/>
      </c>
      <c r="AM32" s="25" t="str">
        <f>IF(B32="","",SUMIFS(Payments!$D$5:$D$304,Payments!$B$5:$B$304,A32,Payments!$A$5:$A$304,"&gt;="&amp;DATE(Setup!$B$4,5,1),Payments!$A$5:$A$304,"&lt;="&amp;EOMONTH(DATE(Setup!$B$4,5,1),0)))</f>
        <v/>
      </c>
      <c r="AN32" s="25" t="str">
        <f t="shared" si="2"/>
        <v/>
      </c>
    </row>
    <row r="33" spans="1:40" x14ac:dyDescent="0.3">
      <c r="A33" s="14" t="str">
        <f>IF(INDEX(Workers!$B:$B,ROW())="","",INDEX(Workers!$B:$B,ROW()))</f>
        <v/>
      </c>
      <c r="B33" s="21" t="str">
        <f>IF(INDEX(Workers!$C:$C,ROW())="","",INDEX(Workers!$C:$C,ROW()))</f>
        <v/>
      </c>
      <c r="C33" s="21" t="str">
        <f>IF(INDEX(Workers!$D:$D,ROW())="","",INDEX(Workers!$D:$D,ROW()))</f>
        <v/>
      </c>
      <c r="D33" s="22" t="str">
        <f>IF(INDEX(Workers!$E:$E,ROW())="","",INDEX(Workers!$E:$E,ROW()))</f>
        <v/>
      </c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4" t="str">
        <f t="shared" si="0"/>
        <v/>
      </c>
      <c r="AK33" s="24" t="str">
        <f t="shared" si="1"/>
        <v/>
      </c>
      <c r="AL33" s="25" t="str">
        <f>IF(B33="","",AJ33*N(D33)+AK33*N(D33)/Setup!$B$6*Setup!$B$7)</f>
        <v/>
      </c>
      <c r="AM33" s="25" t="str">
        <f>IF(B33="","",SUMIFS(Payments!$D$5:$D$304,Payments!$B$5:$B$304,A33,Payments!$A$5:$A$304,"&gt;="&amp;DATE(Setup!$B$4,5,1),Payments!$A$5:$A$304,"&lt;="&amp;EOMONTH(DATE(Setup!$B$4,5,1),0)))</f>
        <v/>
      </c>
      <c r="AN33" s="25" t="str">
        <f t="shared" si="2"/>
        <v/>
      </c>
    </row>
    <row r="34" spans="1:40" x14ac:dyDescent="0.3">
      <c r="A34" s="14" t="str">
        <f>IF(INDEX(Workers!$B:$B,ROW())="","",INDEX(Workers!$B:$B,ROW()))</f>
        <v/>
      </c>
      <c r="B34" s="21" t="str">
        <f>IF(INDEX(Workers!$C:$C,ROW())="","",INDEX(Workers!$C:$C,ROW()))</f>
        <v/>
      </c>
      <c r="C34" s="21" t="str">
        <f>IF(INDEX(Workers!$D:$D,ROW())="","",INDEX(Workers!$D:$D,ROW()))</f>
        <v/>
      </c>
      <c r="D34" s="22" t="str">
        <f>IF(INDEX(Workers!$E:$E,ROW())="","",INDEX(Workers!$E:$E,ROW()))</f>
        <v/>
      </c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4" t="str">
        <f t="shared" si="0"/>
        <v/>
      </c>
      <c r="AK34" s="24" t="str">
        <f t="shared" si="1"/>
        <v/>
      </c>
      <c r="AL34" s="25" t="str">
        <f>IF(B34="","",AJ34*N(D34)+AK34*N(D34)/Setup!$B$6*Setup!$B$7)</f>
        <v/>
      </c>
      <c r="AM34" s="25" t="str">
        <f>IF(B34="","",SUMIFS(Payments!$D$5:$D$304,Payments!$B$5:$B$304,A34,Payments!$A$5:$A$304,"&gt;="&amp;DATE(Setup!$B$4,5,1),Payments!$A$5:$A$304,"&lt;="&amp;EOMONTH(DATE(Setup!$B$4,5,1),0)))</f>
        <v/>
      </c>
      <c r="AN34" s="25" t="str">
        <f t="shared" si="2"/>
        <v/>
      </c>
    </row>
    <row r="35" spans="1:40" x14ac:dyDescent="0.3">
      <c r="A35" s="14" t="str">
        <f>IF(INDEX(Workers!$B:$B,ROW())="","",INDEX(Workers!$B:$B,ROW()))</f>
        <v/>
      </c>
      <c r="B35" s="21" t="str">
        <f>IF(INDEX(Workers!$C:$C,ROW())="","",INDEX(Workers!$C:$C,ROW()))</f>
        <v/>
      </c>
      <c r="C35" s="21" t="str">
        <f>IF(INDEX(Workers!$D:$D,ROW())="","",INDEX(Workers!$D:$D,ROW()))</f>
        <v/>
      </c>
      <c r="D35" s="22" t="str">
        <f>IF(INDEX(Workers!$E:$E,ROW())="","",INDEX(Workers!$E:$E,ROW()))</f>
        <v/>
      </c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4" t="str">
        <f t="shared" si="0"/>
        <v/>
      </c>
      <c r="AK35" s="24" t="str">
        <f t="shared" si="1"/>
        <v/>
      </c>
      <c r="AL35" s="25" t="str">
        <f>IF(B35="","",AJ35*N(D35)+AK35*N(D35)/Setup!$B$6*Setup!$B$7)</f>
        <v/>
      </c>
      <c r="AM35" s="25" t="str">
        <f>IF(B35="","",SUMIFS(Payments!$D$5:$D$304,Payments!$B$5:$B$304,A35,Payments!$A$5:$A$304,"&gt;="&amp;DATE(Setup!$B$4,5,1),Payments!$A$5:$A$304,"&lt;="&amp;EOMONTH(DATE(Setup!$B$4,5,1),0)))</f>
        <v/>
      </c>
      <c r="AN35" s="25" t="str">
        <f t="shared" si="2"/>
        <v/>
      </c>
    </row>
    <row r="36" spans="1:40" x14ac:dyDescent="0.3">
      <c r="A36" s="14" t="str">
        <f>IF(INDEX(Workers!$B:$B,ROW())="","",INDEX(Workers!$B:$B,ROW()))</f>
        <v/>
      </c>
      <c r="B36" s="21" t="str">
        <f>IF(INDEX(Workers!$C:$C,ROW())="","",INDEX(Workers!$C:$C,ROW()))</f>
        <v/>
      </c>
      <c r="C36" s="21" t="str">
        <f>IF(INDEX(Workers!$D:$D,ROW())="","",INDEX(Workers!$D:$D,ROW()))</f>
        <v/>
      </c>
      <c r="D36" s="22" t="str">
        <f>IF(INDEX(Workers!$E:$E,ROW())="","",INDEX(Workers!$E:$E,ROW()))</f>
        <v/>
      </c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4" t="str">
        <f t="shared" si="0"/>
        <v/>
      </c>
      <c r="AK36" s="24" t="str">
        <f t="shared" si="1"/>
        <v/>
      </c>
      <c r="AL36" s="25" t="str">
        <f>IF(B36="","",AJ36*N(D36)+AK36*N(D36)/Setup!$B$6*Setup!$B$7)</f>
        <v/>
      </c>
      <c r="AM36" s="25" t="str">
        <f>IF(B36="","",SUMIFS(Payments!$D$5:$D$304,Payments!$B$5:$B$304,A36,Payments!$A$5:$A$304,"&gt;="&amp;DATE(Setup!$B$4,5,1),Payments!$A$5:$A$304,"&lt;="&amp;EOMONTH(DATE(Setup!$B$4,5,1),0)))</f>
        <v/>
      </c>
      <c r="AN36" s="25" t="str">
        <f t="shared" si="2"/>
        <v/>
      </c>
    </row>
    <row r="37" spans="1:40" x14ac:dyDescent="0.3">
      <c r="A37" s="14" t="str">
        <f>IF(INDEX(Workers!$B:$B,ROW())="","",INDEX(Workers!$B:$B,ROW()))</f>
        <v/>
      </c>
      <c r="B37" s="21" t="str">
        <f>IF(INDEX(Workers!$C:$C,ROW())="","",INDEX(Workers!$C:$C,ROW()))</f>
        <v/>
      </c>
      <c r="C37" s="21" t="str">
        <f>IF(INDEX(Workers!$D:$D,ROW())="","",INDEX(Workers!$D:$D,ROW()))</f>
        <v/>
      </c>
      <c r="D37" s="22" t="str">
        <f>IF(INDEX(Workers!$E:$E,ROW())="","",INDEX(Workers!$E:$E,ROW()))</f>
        <v/>
      </c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4" t="str">
        <f t="shared" si="0"/>
        <v/>
      </c>
      <c r="AK37" s="24" t="str">
        <f t="shared" si="1"/>
        <v/>
      </c>
      <c r="AL37" s="25" t="str">
        <f>IF(B37="","",AJ37*N(D37)+AK37*N(D37)/Setup!$B$6*Setup!$B$7)</f>
        <v/>
      </c>
      <c r="AM37" s="25" t="str">
        <f>IF(B37="","",SUMIFS(Payments!$D$5:$D$304,Payments!$B$5:$B$304,A37,Payments!$A$5:$A$304,"&gt;="&amp;DATE(Setup!$B$4,5,1),Payments!$A$5:$A$304,"&lt;="&amp;EOMONTH(DATE(Setup!$B$4,5,1),0)))</f>
        <v/>
      </c>
      <c r="AN37" s="25" t="str">
        <f t="shared" si="2"/>
        <v/>
      </c>
    </row>
    <row r="38" spans="1:40" x14ac:dyDescent="0.3">
      <c r="A38" s="14" t="str">
        <f>IF(INDEX(Workers!$B:$B,ROW())="","",INDEX(Workers!$B:$B,ROW()))</f>
        <v/>
      </c>
      <c r="B38" s="21" t="str">
        <f>IF(INDEX(Workers!$C:$C,ROW())="","",INDEX(Workers!$C:$C,ROW()))</f>
        <v/>
      </c>
      <c r="C38" s="21" t="str">
        <f>IF(INDEX(Workers!$D:$D,ROW())="","",INDEX(Workers!$D:$D,ROW()))</f>
        <v/>
      </c>
      <c r="D38" s="22" t="str">
        <f>IF(INDEX(Workers!$E:$E,ROW())="","",INDEX(Workers!$E:$E,ROW()))</f>
        <v/>
      </c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4" t="str">
        <f t="shared" si="0"/>
        <v/>
      </c>
      <c r="AK38" s="24" t="str">
        <f t="shared" si="1"/>
        <v/>
      </c>
      <c r="AL38" s="25" t="str">
        <f>IF(B38="","",AJ38*N(D38)+AK38*N(D38)/Setup!$B$6*Setup!$B$7)</f>
        <v/>
      </c>
      <c r="AM38" s="25" t="str">
        <f>IF(B38="","",SUMIFS(Payments!$D$5:$D$304,Payments!$B$5:$B$304,A38,Payments!$A$5:$A$304,"&gt;="&amp;DATE(Setup!$B$4,5,1),Payments!$A$5:$A$304,"&lt;="&amp;EOMONTH(DATE(Setup!$B$4,5,1),0)))</f>
        <v/>
      </c>
      <c r="AN38" s="25" t="str">
        <f t="shared" si="2"/>
        <v/>
      </c>
    </row>
    <row r="39" spans="1:40" x14ac:dyDescent="0.3">
      <c r="A39" s="14" t="str">
        <f>IF(INDEX(Workers!$B:$B,ROW())="","",INDEX(Workers!$B:$B,ROW()))</f>
        <v/>
      </c>
      <c r="B39" s="21" t="str">
        <f>IF(INDEX(Workers!$C:$C,ROW())="","",INDEX(Workers!$C:$C,ROW()))</f>
        <v/>
      </c>
      <c r="C39" s="21" t="str">
        <f>IF(INDEX(Workers!$D:$D,ROW())="","",INDEX(Workers!$D:$D,ROW()))</f>
        <v/>
      </c>
      <c r="D39" s="22" t="str">
        <f>IF(INDEX(Workers!$E:$E,ROW())="","",INDEX(Workers!$E:$E,ROW()))</f>
        <v/>
      </c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4" t="str">
        <f t="shared" si="0"/>
        <v/>
      </c>
      <c r="AK39" s="24" t="str">
        <f t="shared" si="1"/>
        <v/>
      </c>
      <c r="AL39" s="25" t="str">
        <f>IF(B39="","",AJ39*N(D39)+AK39*N(D39)/Setup!$B$6*Setup!$B$7)</f>
        <v/>
      </c>
      <c r="AM39" s="25" t="str">
        <f>IF(B39="","",SUMIFS(Payments!$D$5:$D$304,Payments!$B$5:$B$304,A39,Payments!$A$5:$A$304,"&gt;="&amp;DATE(Setup!$B$4,5,1),Payments!$A$5:$A$304,"&lt;="&amp;EOMONTH(DATE(Setup!$B$4,5,1),0)))</f>
        <v/>
      </c>
      <c r="AN39" s="25" t="str">
        <f t="shared" si="2"/>
        <v/>
      </c>
    </row>
    <row r="40" spans="1:40" x14ac:dyDescent="0.3">
      <c r="A40" s="14" t="str">
        <f>IF(INDEX(Workers!$B:$B,ROW())="","",INDEX(Workers!$B:$B,ROW()))</f>
        <v/>
      </c>
      <c r="B40" s="21" t="str">
        <f>IF(INDEX(Workers!$C:$C,ROW())="","",INDEX(Workers!$C:$C,ROW()))</f>
        <v/>
      </c>
      <c r="C40" s="21" t="str">
        <f>IF(INDEX(Workers!$D:$D,ROW())="","",INDEX(Workers!$D:$D,ROW()))</f>
        <v/>
      </c>
      <c r="D40" s="22" t="str">
        <f>IF(INDEX(Workers!$E:$E,ROW())="","",INDEX(Workers!$E:$E,ROW()))</f>
        <v/>
      </c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4" t="str">
        <f t="shared" si="0"/>
        <v/>
      </c>
      <c r="AK40" s="24" t="str">
        <f t="shared" si="1"/>
        <v/>
      </c>
      <c r="AL40" s="25" t="str">
        <f>IF(B40="","",AJ40*N(D40)+AK40*N(D40)/Setup!$B$6*Setup!$B$7)</f>
        <v/>
      </c>
      <c r="AM40" s="25" t="str">
        <f>IF(B40="","",SUMIFS(Payments!$D$5:$D$304,Payments!$B$5:$B$304,A40,Payments!$A$5:$A$304,"&gt;="&amp;DATE(Setup!$B$4,5,1),Payments!$A$5:$A$304,"&lt;="&amp;EOMONTH(DATE(Setup!$B$4,5,1),0)))</f>
        <v/>
      </c>
      <c r="AN40" s="25" t="str">
        <f t="shared" si="2"/>
        <v/>
      </c>
    </row>
    <row r="41" spans="1:40" x14ac:dyDescent="0.3">
      <c r="A41" s="14" t="str">
        <f>IF(INDEX(Workers!$B:$B,ROW())="","",INDEX(Workers!$B:$B,ROW()))</f>
        <v/>
      </c>
      <c r="B41" s="21" t="str">
        <f>IF(INDEX(Workers!$C:$C,ROW())="","",INDEX(Workers!$C:$C,ROW()))</f>
        <v/>
      </c>
      <c r="C41" s="21" t="str">
        <f>IF(INDEX(Workers!$D:$D,ROW())="","",INDEX(Workers!$D:$D,ROW()))</f>
        <v/>
      </c>
      <c r="D41" s="22" t="str">
        <f>IF(INDEX(Workers!$E:$E,ROW())="","",INDEX(Workers!$E:$E,ROW()))</f>
        <v/>
      </c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4" t="str">
        <f t="shared" si="0"/>
        <v/>
      </c>
      <c r="AK41" s="24" t="str">
        <f t="shared" si="1"/>
        <v/>
      </c>
      <c r="AL41" s="25" t="str">
        <f>IF(B41="","",AJ41*N(D41)+AK41*N(D41)/Setup!$B$6*Setup!$B$7)</f>
        <v/>
      </c>
      <c r="AM41" s="25" t="str">
        <f>IF(B41="","",SUMIFS(Payments!$D$5:$D$304,Payments!$B$5:$B$304,A41,Payments!$A$5:$A$304,"&gt;="&amp;DATE(Setup!$B$4,5,1),Payments!$A$5:$A$304,"&lt;="&amp;EOMONTH(DATE(Setup!$B$4,5,1),0)))</f>
        <v/>
      </c>
      <c r="AN41" s="25" t="str">
        <f t="shared" si="2"/>
        <v/>
      </c>
    </row>
    <row r="42" spans="1:40" x14ac:dyDescent="0.3">
      <c r="A42" s="14" t="str">
        <f>IF(INDEX(Workers!$B:$B,ROW())="","",INDEX(Workers!$B:$B,ROW()))</f>
        <v/>
      </c>
      <c r="B42" s="21" t="str">
        <f>IF(INDEX(Workers!$C:$C,ROW())="","",INDEX(Workers!$C:$C,ROW()))</f>
        <v/>
      </c>
      <c r="C42" s="21" t="str">
        <f>IF(INDEX(Workers!$D:$D,ROW())="","",INDEX(Workers!$D:$D,ROW()))</f>
        <v/>
      </c>
      <c r="D42" s="22" t="str">
        <f>IF(INDEX(Workers!$E:$E,ROW())="","",INDEX(Workers!$E:$E,ROW()))</f>
        <v/>
      </c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4" t="str">
        <f t="shared" si="0"/>
        <v/>
      </c>
      <c r="AK42" s="24" t="str">
        <f t="shared" si="1"/>
        <v/>
      </c>
      <c r="AL42" s="25" t="str">
        <f>IF(B42="","",AJ42*N(D42)+AK42*N(D42)/Setup!$B$6*Setup!$B$7)</f>
        <v/>
      </c>
      <c r="AM42" s="25" t="str">
        <f>IF(B42="","",SUMIFS(Payments!$D$5:$D$304,Payments!$B$5:$B$304,A42,Payments!$A$5:$A$304,"&gt;="&amp;DATE(Setup!$B$4,5,1),Payments!$A$5:$A$304,"&lt;="&amp;EOMONTH(DATE(Setup!$B$4,5,1),0)))</f>
        <v/>
      </c>
      <c r="AN42" s="25" t="str">
        <f t="shared" si="2"/>
        <v/>
      </c>
    </row>
    <row r="43" spans="1:40" x14ac:dyDescent="0.3">
      <c r="A43" s="14" t="str">
        <f>IF(INDEX(Workers!$B:$B,ROW())="","",INDEX(Workers!$B:$B,ROW()))</f>
        <v/>
      </c>
      <c r="B43" s="21" t="str">
        <f>IF(INDEX(Workers!$C:$C,ROW())="","",INDEX(Workers!$C:$C,ROW()))</f>
        <v/>
      </c>
      <c r="C43" s="21" t="str">
        <f>IF(INDEX(Workers!$D:$D,ROW())="","",INDEX(Workers!$D:$D,ROW()))</f>
        <v/>
      </c>
      <c r="D43" s="22" t="str">
        <f>IF(INDEX(Workers!$E:$E,ROW())="","",INDEX(Workers!$E:$E,ROW()))</f>
        <v/>
      </c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4" t="str">
        <f t="shared" si="0"/>
        <v/>
      </c>
      <c r="AK43" s="24" t="str">
        <f t="shared" si="1"/>
        <v/>
      </c>
      <c r="AL43" s="25" t="str">
        <f>IF(B43="","",AJ43*N(D43)+AK43*N(D43)/Setup!$B$6*Setup!$B$7)</f>
        <v/>
      </c>
      <c r="AM43" s="25" t="str">
        <f>IF(B43="","",SUMIFS(Payments!$D$5:$D$304,Payments!$B$5:$B$304,A43,Payments!$A$5:$A$304,"&gt;="&amp;DATE(Setup!$B$4,5,1),Payments!$A$5:$A$304,"&lt;="&amp;EOMONTH(DATE(Setup!$B$4,5,1),0)))</f>
        <v/>
      </c>
      <c r="AN43" s="25" t="str">
        <f t="shared" si="2"/>
        <v/>
      </c>
    </row>
    <row r="44" spans="1:40" x14ac:dyDescent="0.3">
      <c r="A44" s="14" t="str">
        <f>IF(INDEX(Workers!$B:$B,ROW())="","",INDEX(Workers!$B:$B,ROW()))</f>
        <v/>
      </c>
      <c r="B44" s="21" t="str">
        <f>IF(INDEX(Workers!$C:$C,ROW())="","",INDEX(Workers!$C:$C,ROW()))</f>
        <v/>
      </c>
      <c r="C44" s="21" t="str">
        <f>IF(INDEX(Workers!$D:$D,ROW())="","",INDEX(Workers!$D:$D,ROW()))</f>
        <v/>
      </c>
      <c r="D44" s="22" t="str">
        <f>IF(INDEX(Workers!$E:$E,ROW())="","",INDEX(Workers!$E:$E,ROW()))</f>
        <v/>
      </c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4" t="str">
        <f t="shared" si="0"/>
        <v/>
      </c>
      <c r="AK44" s="24" t="str">
        <f t="shared" si="1"/>
        <v/>
      </c>
      <c r="AL44" s="25" t="str">
        <f>IF(B44="","",AJ44*N(D44)+AK44*N(D44)/Setup!$B$6*Setup!$B$7)</f>
        <v/>
      </c>
      <c r="AM44" s="25" t="str">
        <f>IF(B44="","",SUMIFS(Payments!$D$5:$D$304,Payments!$B$5:$B$304,A44,Payments!$A$5:$A$304,"&gt;="&amp;DATE(Setup!$B$4,5,1),Payments!$A$5:$A$304,"&lt;="&amp;EOMONTH(DATE(Setup!$B$4,5,1),0)))</f>
        <v/>
      </c>
      <c r="AN44" s="25" t="str">
        <f t="shared" si="2"/>
        <v/>
      </c>
    </row>
    <row r="45" spans="1:40" x14ac:dyDescent="0.3">
      <c r="A45" s="26"/>
      <c r="B45" s="26" t="s">
        <v>88</v>
      </c>
      <c r="C45" s="26"/>
      <c r="D45" s="26"/>
      <c r="E45" s="27">
        <f t="shared" ref="E45:AI45" si="3">IF(E$3="","",COUNTIF(E5:E44,"P")+COUNTIF(E5:E44,"H")+COUNT(E5:E44))</f>
        <v>0</v>
      </c>
      <c r="F45" s="27">
        <f t="shared" si="3"/>
        <v>0</v>
      </c>
      <c r="G45" s="27">
        <f t="shared" si="3"/>
        <v>0</v>
      </c>
      <c r="H45" s="27">
        <f t="shared" si="3"/>
        <v>0</v>
      </c>
      <c r="I45" s="27">
        <f t="shared" si="3"/>
        <v>0</v>
      </c>
      <c r="J45" s="27">
        <f t="shared" si="3"/>
        <v>0</v>
      </c>
      <c r="K45" s="27">
        <f t="shared" si="3"/>
        <v>0</v>
      </c>
      <c r="L45" s="27">
        <f t="shared" si="3"/>
        <v>0</v>
      </c>
      <c r="M45" s="27">
        <f t="shared" si="3"/>
        <v>0</v>
      </c>
      <c r="N45" s="27">
        <f t="shared" si="3"/>
        <v>0</v>
      </c>
      <c r="O45" s="27">
        <f t="shared" si="3"/>
        <v>0</v>
      </c>
      <c r="P45" s="27">
        <f t="shared" si="3"/>
        <v>0</v>
      </c>
      <c r="Q45" s="27">
        <f t="shared" si="3"/>
        <v>0</v>
      </c>
      <c r="R45" s="27">
        <f t="shared" si="3"/>
        <v>0</v>
      </c>
      <c r="S45" s="27">
        <f t="shared" si="3"/>
        <v>0</v>
      </c>
      <c r="T45" s="27">
        <f t="shared" si="3"/>
        <v>0</v>
      </c>
      <c r="U45" s="27">
        <f t="shared" si="3"/>
        <v>0</v>
      </c>
      <c r="V45" s="27">
        <f t="shared" si="3"/>
        <v>0</v>
      </c>
      <c r="W45" s="27">
        <f t="shared" si="3"/>
        <v>0</v>
      </c>
      <c r="X45" s="27">
        <f t="shared" si="3"/>
        <v>0</v>
      </c>
      <c r="Y45" s="27">
        <f t="shared" si="3"/>
        <v>0</v>
      </c>
      <c r="Z45" s="27">
        <f t="shared" si="3"/>
        <v>0</v>
      </c>
      <c r="AA45" s="27">
        <f t="shared" si="3"/>
        <v>0</v>
      </c>
      <c r="AB45" s="27">
        <f t="shared" si="3"/>
        <v>0</v>
      </c>
      <c r="AC45" s="27">
        <f t="shared" si="3"/>
        <v>0</v>
      </c>
      <c r="AD45" s="27">
        <f t="shared" si="3"/>
        <v>0</v>
      </c>
      <c r="AE45" s="27">
        <f t="shared" si="3"/>
        <v>0</v>
      </c>
      <c r="AF45" s="27">
        <f t="shared" si="3"/>
        <v>0</v>
      </c>
      <c r="AG45" s="27">
        <f t="shared" si="3"/>
        <v>0</v>
      </c>
      <c r="AH45" s="27">
        <f t="shared" si="3"/>
        <v>0</v>
      </c>
      <c r="AI45" s="27">
        <f t="shared" si="3"/>
        <v>0</v>
      </c>
      <c r="AJ45" s="28">
        <f>SUM(AJ5:AJ44)</f>
        <v>0</v>
      </c>
      <c r="AK45" s="28">
        <f>SUM(AK5:AK44)</f>
        <v>0</v>
      </c>
      <c r="AL45" s="29">
        <f>SUM(AL5:AL44)</f>
        <v>0</v>
      </c>
      <c r="AM45" s="29">
        <f>SUM(AM5:AM44)</f>
        <v>0</v>
      </c>
      <c r="AN45" s="29">
        <f>SUM(AN5:AN44)</f>
        <v>0</v>
      </c>
    </row>
  </sheetData>
  <conditionalFormatting sqref="E3:AI3">
    <cfRule type="expression" dxfId="55" priority="2">
      <formula>E$3="Sun"</formula>
    </cfRule>
  </conditionalFormatting>
  <conditionalFormatting sqref="E3:AI45">
    <cfRule type="expression" dxfId="54" priority="1">
      <formula>E$3=""</formula>
    </cfRule>
  </conditionalFormatting>
  <conditionalFormatting sqref="E5:AI44">
    <cfRule type="expression" dxfId="53" priority="6">
      <formula>E5="A"</formula>
    </cfRule>
    <cfRule type="expression" dxfId="52" priority="7">
      <formula>E5="H"</formula>
    </cfRule>
    <cfRule type="expression" dxfId="51" priority="8">
      <formula>ISNUMBER(E5)</formula>
    </cfRule>
  </conditionalFormatting>
  <conditionalFormatting sqref="E5:AI45">
    <cfRule type="expression" dxfId="50" priority="4">
      <formula>E$3="Sun"</formula>
    </cfRule>
  </conditionalFormatting>
  <conditionalFormatting sqref="AN5:AN44">
    <cfRule type="expression" dxfId="49" priority="9">
      <formula>AN5&lt;0</formula>
    </cfRule>
  </conditionalFormatting>
  <dataValidations count="1">
    <dataValidation type="custom" allowBlank="1" showErrorMessage="1" errorTitle="Attendance code" error="Type P, H, A, L, or the number of overtime hours (0 to 12). Shaded days do not exist in this month." sqref="E5:AI44" xr:uid="{00000000-0002-0000-0700-000000000000}">
      <formula1>AND(E$3&lt;&gt;"",OR(E5="P",E5="H",E5="A",E5="L",AND(ISNUMBER(E5),E5&gt;=0,E5&lt;=12)))</formula1>
    </dataValidation>
  </dataValidations>
  <printOptions horizontalCentered="1"/>
  <pageMargins left="0.45" right="0.45" top="0.6" bottom="0.6" header="0.3" footer="0.3"/>
  <pageSetup paperSize="9" scale="66" orientation="landscape" r:id="rId1"/>
  <headerFooter>
    <oddFooter>&amp;L&amp;8Free from NirmanDost - nirmandost.in - sign up for more free tools&amp;R&amp;8Page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N45"/>
  <sheetViews>
    <sheetView showGridLines="0" workbookViewId="0">
      <pane xSplit="4" ySplit="4" topLeftCell="E5" activePane="bottomRight" state="frozen"/>
      <selection pane="topRight"/>
      <selection pane="bottomLeft"/>
      <selection pane="bottomRight"/>
    </sheetView>
  </sheetViews>
  <sheetFormatPr defaultRowHeight="14.4" x14ac:dyDescent="0.3"/>
  <cols>
    <col min="1" max="1" width="7" customWidth="1"/>
    <col min="2" max="2" width="24" customWidth="1"/>
    <col min="3" max="3" width="11" customWidth="1"/>
    <col min="4" max="4" width="9" customWidth="1"/>
    <col min="5" max="35" width="3.5546875" customWidth="1"/>
    <col min="36" max="37" width="6.44140625" customWidth="1"/>
    <col min="38" max="38" width="12" customWidth="1"/>
    <col min="39" max="40" width="11" customWidth="1"/>
  </cols>
  <sheetData>
    <row r="1" spans="1:40" ht="17.399999999999999" x14ac:dyDescent="0.3">
      <c r="A1" s="18" t="str">
        <f>"Attendance - "&amp;TEXT(DATE(Setup!$B$4,6,1),"mmmm yyyy")&amp;"   "&amp;Setup!$B$5</f>
        <v>Attendance - June 2026   Type the site name</v>
      </c>
    </row>
    <row r="2" spans="1:40" x14ac:dyDescent="0.3">
      <c r="A2" s="19" t="s">
        <v>49</v>
      </c>
    </row>
    <row r="3" spans="1:40" x14ac:dyDescent="0.3">
      <c r="E3" s="20" t="str">
        <f>IF(1&gt;DAY(EOMONTH(DATE(Setup!$B$4,6,1),0)),"",TEXT(DATE(Setup!$B$4,6,1),"ddd"))</f>
        <v>Mon</v>
      </c>
      <c r="F3" s="20" t="str">
        <f>IF(2&gt;DAY(EOMONTH(DATE(Setup!$B$4,6,1),0)),"",TEXT(DATE(Setup!$B$4,6,2),"ddd"))</f>
        <v>Tue</v>
      </c>
      <c r="G3" s="20" t="str">
        <f>IF(3&gt;DAY(EOMONTH(DATE(Setup!$B$4,6,1),0)),"",TEXT(DATE(Setup!$B$4,6,3),"ddd"))</f>
        <v>Wed</v>
      </c>
      <c r="H3" s="20" t="str">
        <f>IF(4&gt;DAY(EOMONTH(DATE(Setup!$B$4,6,1),0)),"",TEXT(DATE(Setup!$B$4,6,4),"ddd"))</f>
        <v>Thu</v>
      </c>
      <c r="I3" s="20" t="str">
        <f>IF(5&gt;DAY(EOMONTH(DATE(Setup!$B$4,6,1),0)),"",TEXT(DATE(Setup!$B$4,6,5),"ddd"))</f>
        <v>Fri</v>
      </c>
      <c r="J3" s="20" t="str">
        <f>IF(6&gt;DAY(EOMONTH(DATE(Setup!$B$4,6,1),0)),"",TEXT(DATE(Setup!$B$4,6,6),"ddd"))</f>
        <v>Sat</v>
      </c>
      <c r="K3" s="20" t="str">
        <f>IF(7&gt;DAY(EOMONTH(DATE(Setup!$B$4,6,1),0)),"",TEXT(DATE(Setup!$B$4,6,7),"ddd"))</f>
        <v>Sun</v>
      </c>
      <c r="L3" s="20" t="str">
        <f>IF(8&gt;DAY(EOMONTH(DATE(Setup!$B$4,6,1),0)),"",TEXT(DATE(Setup!$B$4,6,8),"ddd"))</f>
        <v>Mon</v>
      </c>
      <c r="M3" s="20" t="str">
        <f>IF(9&gt;DAY(EOMONTH(DATE(Setup!$B$4,6,1),0)),"",TEXT(DATE(Setup!$B$4,6,9),"ddd"))</f>
        <v>Tue</v>
      </c>
      <c r="N3" s="20" t="str">
        <f>IF(10&gt;DAY(EOMONTH(DATE(Setup!$B$4,6,1),0)),"",TEXT(DATE(Setup!$B$4,6,10),"ddd"))</f>
        <v>Wed</v>
      </c>
      <c r="O3" s="20" t="str">
        <f>IF(11&gt;DAY(EOMONTH(DATE(Setup!$B$4,6,1),0)),"",TEXT(DATE(Setup!$B$4,6,11),"ddd"))</f>
        <v>Thu</v>
      </c>
      <c r="P3" s="20" t="str">
        <f>IF(12&gt;DAY(EOMONTH(DATE(Setup!$B$4,6,1),0)),"",TEXT(DATE(Setup!$B$4,6,12),"ddd"))</f>
        <v>Fri</v>
      </c>
      <c r="Q3" s="20" t="str">
        <f>IF(13&gt;DAY(EOMONTH(DATE(Setup!$B$4,6,1),0)),"",TEXT(DATE(Setup!$B$4,6,13),"ddd"))</f>
        <v>Sat</v>
      </c>
      <c r="R3" s="20" t="str">
        <f>IF(14&gt;DAY(EOMONTH(DATE(Setup!$B$4,6,1),0)),"",TEXT(DATE(Setup!$B$4,6,14),"ddd"))</f>
        <v>Sun</v>
      </c>
      <c r="S3" s="20" t="str">
        <f>IF(15&gt;DAY(EOMONTH(DATE(Setup!$B$4,6,1),0)),"",TEXT(DATE(Setup!$B$4,6,15),"ddd"))</f>
        <v>Mon</v>
      </c>
      <c r="T3" s="20" t="str">
        <f>IF(16&gt;DAY(EOMONTH(DATE(Setup!$B$4,6,1),0)),"",TEXT(DATE(Setup!$B$4,6,16),"ddd"))</f>
        <v>Tue</v>
      </c>
      <c r="U3" s="20" t="str">
        <f>IF(17&gt;DAY(EOMONTH(DATE(Setup!$B$4,6,1),0)),"",TEXT(DATE(Setup!$B$4,6,17),"ddd"))</f>
        <v>Wed</v>
      </c>
      <c r="V3" s="20" t="str">
        <f>IF(18&gt;DAY(EOMONTH(DATE(Setup!$B$4,6,1),0)),"",TEXT(DATE(Setup!$B$4,6,18),"ddd"))</f>
        <v>Thu</v>
      </c>
      <c r="W3" s="20" t="str">
        <f>IF(19&gt;DAY(EOMONTH(DATE(Setup!$B$4,6,1),0)),"",TEXT(DATE(Setup!$B$4,6,19),"ddd"))</f>
        <v>Fri</v>
      </c>
      <c r="X3" s="20" t="str">
        <f>IF(20&gt;DAY(EOMONTH(DATE(Setup!$B$4,6,1),0)),"",TEXT(DATE(Setup!$B$4,6,20),"ddd"))</f>
        <v>Sat</v>
      </c>
      <c r="Y3" s="20" t="str">
        <f>IF(21&gt;DAY(EOMONTH(DATE(Setup!$B$4,6,1),0)),"",TEXT(DATE(Setup!$B$4,6,21),"ddd"))</f>
        <v>Sun</v>
      </c>
      <c r="Z3" s="20" t="str">
        <f>IF(22&gt;DAY(EOMONTH(DATE(Setup!$B$4,6,1),0)),"",TEXT(DATE(Setup!$B$4,6,22),"ddd"))</f>
        <v>Mon</v>
      </c>
      <c r="AA3" s="20" t="str">
        <f>IF(23&gt;DAY(EOMONTH(DATE(Setup!$B$4,6,1),0)),"",TEXT(DATE(Setup!$B$4,6,23),"ddd"))</f>
        <v>Tue</v>
      </c>
      <c r="AB3" s="20" t="str">
        <f>IF(24&gt;DAY(EOMONTH(DATE(Setup!$B$4,6,1),0)),"",TEXT(DATE(Setup!$B$4,6,24),"ddd"))</f>
        <v>Wed</v>
      </c>
      <c r="AC3" s="20" t="str">
        <f>IF(25&gt;DAY(EOMONTH(DATE(Setup!$B$4,6,1),0)),"",TEXT(DATE(Setup!$B$4,6,25),"ddd"))</f>
        <v>Thu</v>
      </c>
      <c r="AD3" s="20" t="str">
        <f>IF(26&gt;DAY(EOMONTH(DATE(Setup!$B$4,6,1),0)),"",TEXT(DATE(Setup!$B$4,6,26),"ddd"))</f>
        <v>Fri</v>
      </c>
      <c r="AE3" s="20" t="str">
        <f>IF(27&gt;DAY(EOMONTH(DATE(Setup!$B$4,6,1),0)),"",TEXT(DATE(Setup!$B$4,6,27),"ddd"))</f>
        <v>Sat</v>
      </c>
      <c r="AF3" s="20" t="str">
        <f>IF(28&gt;DAY(EOMONTH(DATE(Setup!$B$4,6,1),0)),"",TEXT(DATE(Setup!$B$4,6,28),"ddd"))</f>
        <v>Sun</v>
      </c>
      <c r="AG3" s="20" t="str">
        <f>IF(29&gt;DAY(EOMONTH(DATE(Setup!$B$4,6,1),0)),"",TEXT(DATE(Setup!$B$4,6,29),"ddd"))</f>
        <v>Mon</v>
      </c>
      <c r="AH3" s="20" t="str">
        <f>IF(30&gt;DAY(EOMONTH(DATE(Setup!$B$4,6,1),0)),"",TEXT(DATE(Setup!$B$4,6,30),"ddd"))</f>
        <v>Tue</v>
      </c>
      <c r="AI3" s="20" t="str">
        <f>IF(31&gt;DAY(EOMONTH(DATE(Setup!$B$4,6,1),0)),"",TEXT(DATE(Setup!$B$4,6,31),"ddd"))</f>
        <v/>
      </c>
    </row>
    <row r="4" spans="1:40" ht="28.05" customHeight="1" x14ac:dyDescent="0.3">
      <c r="A4" s="13" t="s">
        <v>50</v>
      </c>
      <c r="B4" s="13" t="s">
        <v>37</v>
      </c>
      <c r="C4" s="13" t="s">
        <v>38</v>
      </c>
      <c r="D4" s="13" t="s">
        <v>51</v>
      </c>
      <c r="E4" s="13" t="s">
        <v>52</v>
      </c>
      <c r="F4" s="13" t="s">
        <v>53</v>
      </c>
      <c r="G4" s="13" t="s">
        <v>54</v>
      </c>
      <c r="H4" s="13" t="s">
        <v>55</v>
      </c>
      <c r="I4" s="13" t="s">
        <v>56</v>
      </c>
      <c r="J4" s="13" t="s">
        <v>57</v>
      </c>
      <c r="K4" s="13" t="s">
        <v>58</v>
      </c>
      <c r="L4" s="13" t="s">
        <v>59</v>
      </c>
      <c r="M4" s="13" t="s">
        <v>60</v>
      </c>
      <c r="N4" s="13" t="s">
        <v>61</v>
      </c>
      <c r="O4" s="13" t="s">
        <v>62</v>
      </c>
      <c r="P4" s="13" t="s">
        <v>63</v>
      </c>
      <c r="Q4" s="13" t="s">
        <v>64</v>
      </c>
      <c r="R4" s="13" t="s">
        <v>65</v>
      </c>
      <c r="S4" s="13" t="s">
        <v>66</v>
      </c>
      <c r="T4" s="13" t="s">
        <v>67</v>
      </c>
      <c r="U4" s="13" t="s">
        <v>68</v>
      </c>
      <c r="V4" s="13" t="s">
        <v>69</v>
      </c>
      <c r="W4" s="13" t="s">
        <v>70</v>
      </c>
      <c r="X4" s="13" t="s">
        <v>71</v>
      </c>
      <c r="Y4" s="13" t="s">
        <v>72</v>
      </c>
      <c r="Z4" s="13" t="s">
        <v>73</v>
      </c>
      <c r="AA4" s="13" t="s">
        <v>74</v>
      </c>
      <c r="AB4" s="13" t="s">
        <v>75</v>
      </c>
      <c r="AC4" s="13" t="s">
        <v>76</v>
      </c>
      <c r="AD4" s="13" t="s">
        <v>77</v>
      </c>
      <c r="AE4" s="13" t="s">
        <v>78</v>
      </c>
      <c r="AF4" s="13" t="s">
        <v>79</v>
      </c>
      <c r="AG4" s="13" t="s">
        <v>80</v>
      </c>
      <c r="AH4" s="13" t="s">
        <v>81</v>
      </c>
      <c r="AI4" s="13" t="s">
        <v>82</v>
      </c>
      <c r="AJ4" s="13" t="s">
        <v>83</v>
      </c>
      <c r="AK4" s="13" t="s">
        <v>84</v>
      </c>
      <c r="AL4" s="13" t="s">
        <v>85</v>
      </c>
      <c r="AM4" s="13" t="s">
        <v>86</v>
      </c>
      <c r="AN4" s="13" t="s">
        <v>87</v>
      </c>
    </row>
    <row r="5" spans="1:40" x14ac:dyDescent="0.3">
      <c r="A5" s="14" t="str">
        <f>IF(INDEX(Workers!$B:$B,ROW())="","",INDEX(Workers!$B:$B,ROW()))</f>
        <v>W-01</v>
      </c>
      <c r="B5" s="21" t="str">
        <f>IF(INDEX(Workers!$C:$C,ROW())="","",INDEX(Workers!$C:$C,ROW()))</f>
        <v>Ramesh (EXAMPLE, clear me)</v>
      </c>
      <c r="C5" s="21" t="str">
        <f>IF(INDEX(Workers!$D:$D,ROW())="","",INDEX(Workers!$D:$D,ROW()))</f>
        <v>Mason</v>
      </c>
      <c r="D5" s="22">
        <f>IF(INDEX(Workers!$E:$E,ROW())="","",INDEX(Workers!$E:$E,ROW()))</f>
        <v>900</v>
      </c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4">
        <f t="shared" ref="AJ5:AJ44" si="0">IF(B5="","",SUMPRODUCT((E$3:AI$3&lt;&gt;"")*(E5:AI5="P"))+0.5*SUMPRODUCT((E$3:AI$3&lt;&gt;"")*(E5:AI5="H"))+SUMPRODUCT((E$3:AI$3&lt;&gt;"")*ISNUMBER(E5:AI5)))</f>
        <v>0</v>
      </c>
      <c r="AK5" s="24">
        <f t="shared" ref="AK5:AK44" si="1">IF(B5="","",SUMPRODUCT((E$3:AI$3&lt;&gt;"")*ISNUMBER(E5:AI5),E5:AI5))</f>
        <v>0</v>
      </c>
      <c r="AL5" s="25">
        <f>IF(B5="","",AJ5*N(D5)+AK5*N(D5)/Setup!$B$6*Setup!$B$7)</f>
        <v>0</v>
      </c>
      <c r="AM5" s="25">
        <f>IF(B5="","",SUMIFS(Payments!$D$5:$D$304,Payments!$B$5:$B$304,A5,Payments!$A$5:$A$304,"&gt;="&amp;DATE(Setup!$B$4,6,1),Payments!$A$5:$A$304,"&lt;="&amp;EOMONTH(DATE(Setup!$B$4,6,1),0)))</f>
        <v>0</v>
      </c>
      <c r="AN5" s="25">
        <f t="shared" ref="AN5:AN44" si="2">IF(B5="","",AL5-AM5)</f>
        <v>0</v>
      </c>
    </row>
    <row r="6" spans="1:40" x14ac:dyDescent="0.3">
      <c r="A6" s="14" t="str">
        <f>IF(INDEX(Workers!$B:$B,ROW())="","",INDEX(Workers!$B:$B,ROW()))</f>
        <v/>
      </c>
      <c r="B6" s="21" t="str">
        <f>IF(INDEX(Workers!$C:$C,ROW())="","",INDEX(Workers!$C:$C,ROW()))</f>
        <v/>
      </c>
      <c r="C6" s="21" t="str">
        <f>IF(INDEX(Workers!$D:$D,ROW())="","",INDEX(Workers!$D:$D,ROW()))</f>
        <v/>
      </c>
      <c r="D6" s="22" t="str">
        <f>IF(INDEX(Workers!$E:$E,ROW())="","",INDEX(Workers!$E:$E,ROW()))</f>
        <v/>
      </c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4" t="str">
        <f t="shared" si="0"/>
        <v/>
      </c>
      <c r="AK6" s="24" t="str">
        <f t="shared" si="1"/>
        <v/>
      </c>
      <c r="AL6" s="25" t="str">
        <f>IF(B6="","",AJ6*N(D6)+AK6*N(D6)/Setup!$B$6*Setup!$B$7)</f>
        <v/>
      </c>
      <c r="AM6" s="25" t="str">
        <f>IF(B6="","",SUMIFS(Payments!$D$5:$D$304,Payments!$B$5:$B$304,A6,Payments!$A$5:$A$304,"&gt;="&amp;DATE(Setup!$B$4,6,1),Payments!$A$5:$A$304,"&lt;="&amp;EOMONTH(DATE(Setup!$B$4,6,1),0)))</f>
        <v/>
      </c>
      <c r="AN6" s="25" t="str">
        <f t="shared" si="2"/>
        <v/>
      </c>
    </row>
    <row r="7" spans="1:40" x14ac:dyDescent="0.3">
      <c r="A7" s="14" t="str">
        <f>IF(INDEX(Workers!$B:$B,ROW())="","",INDEX(Workers!$B:$B,ROW()))</f>
        <v/>
      </c>
      <c r="B7" s="21" t="str">
        <f>IF(INDEX(Workers!$C:$C,ROW())="","",INDEX(Workers!$C:$C,ROW()))</f>
        <v/>
      </c>
      <c r="C7" s="21" t="str">
        <f>IF(INDEX(Workers!$D:$D,ROW())="","",INDEX(Workers!$D:$D,ROW()))</f>
        <v/>
      </c>
      <c r="D7" s="22" t="str">
        <f>IF(INDEX(Workers!$E:$E,ROW())="","",INDEX(Workers!$E:$E,ROW()))</f>
        <v/>
      </c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4" t="str">
        <f t="shared" si="0"/>
        <v/>
      </c>
      <c r="AK7" s="24" t="str">
        <f t="shared" si="1"/>
        <v/>
      </c>
      <c r="AL7" s="25" t="str">
        <f>IF(B7="","",AJ7*N(D7)+AK7*N(D7)/Setup!$B$6*Setup!$B$7)</f>
        <v/>
      </c>
      <c r="AM7" s="25" t="str">
        <f>IF(B7="","",SUMIFS(Payments!$D$5:$D$304,Payments!$B$5:$B$304,A7,Payments!$A$5:$A$304,"&gt;="&amp;DATE(Setup!$B$4,6,1),Payments!$A$5:$A$304,"&lt;="&amp;EOMONTH(DATE(Setup!$B$4,6,1),0)))</f>
        <v/>
      </c>
      <c r="AN7" s="25" t="str">
        <f t="shared" si="2"/>
        <v/>
      </c>
    </row>
    <row r="8" spans="1:40" x14ac:dyDescent="0.3">
      <c r="A8" s="14" t="str">
        <f>IF(INDEX(Workers!$B:$B,ROW())="","",INDEX(Workers!$B:$B,ROW()))</f>
        <v/>
      </c>
      <c r="B8" s="21" t="str">
        <f>IF(INDEX(Workers!$C:$C,ROW())="","",INDEX(Workers!$C:$C,ROW()))</f>
        <v/>
      </c>
      <c r="C8" s="21" t="str">
        <f>IF(INDEX(Workers!$D:$D,ROW())="","",INDEX(Workers!$D:$D,ROW()))</f>
        <v/>
      </c>
      <c r="D8" s="22" t="str">
        <f>IF(INDEX(Workers!$E:$E,ROW())="","",INDEX(Workers!$E:$E,ROW()))</f>
        <v/>
      </c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4" t="str">
        <f t="shared" si="0"/>
        <v/>
      </c>
      <c r="AK8" s="24" t="str">
        <f t="shared" si="1"/>
        <v/>
      </c>
      <c r="AL8" s="25" t="str">
        <f>IF(B8="","",AJ8*N(D8)+AK8*N(D8)/Setup!$B$6*Setup!$B$7)</f>
        <v/>
      </c>
      <c r="AM8" s="25" t="str">
        <f>IF(B8="","",SUMIFS(Payments!$D$5:$D$304,Payments!$B$5:$B$304,A8,Payments!$A$5:$A$304,"&gt;="&amp;DATE(Setup!$B$4,6,1),Payments!$A$5:$A$304,"&lt;="&amp;EOMONTH(DATE(Setup!$B$4,6,1),0)))</f>
        <v/>
      </c>
      <c r="AN8" s="25" t="str">
        <f t="shared" si="2"/>
        <v/>
      </c>
    </row>
    <row r="9" spans="1:40" x14ac:dyDescent="0.3">
      <c r="A9" s="14" t="str">
        <f>IF(INDEX(Workers!$B:$B,ROW())="","",INDEX(Workers!$B:$B,ROW()))</f>
        <v/>
      </c>
      <c r="B9" s="21" t="str">
        <f>IF(INDEX(Workers!$C:$C,ROW())="","",INDEX(Workers!$C:$C,ROW()))</f>
        <v/>
      </c>
      <c r="C9" s="21" t="str">
        <f>IF(INDEX(Workers!$D:$D,ROW())="","",INDEX(Workers!$D:$D,ROW()))</f>
        <v/>
      </c>
      <c r="D9" s="22" t="str">
        <f>IF(INDEX(Workers!$E:$E,ROW())="","",INDEX(Workers!$E:$E,ROW()))</f>
        <v/>
      </c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4" t="str">
        <f t="shared" si="0"/>
        <v/>
      </c>
      <c r="AK9" s="24" t="str">
        <f t="shared" si="1"/>
        <v/>
      </c>
      <c r="AL9" s="25" t="str">
        <f>IF(B9="","",AJ9*N(D9)+AK9*N(D9)/Setup!$B$6*Setup!$B$7)</f>
        <v/>
      </c>
      <c r="AM9" s="25" t="str">
        <f>IF(B9="","",SUMIFS(Payments!$D$5:$D$304,Payments!$B$5:$B$304,A9,Payments!$A$5:$A$304,"&gt;="&amp;DATE(Setup!$B$4,6,1),Payments!$A$5:$A$304,"&lt;="&amp;EOMONTH(DATE(Setup!$B$4,6,1),0)))</f>
        <v/>
      </c>
      <c r="AN9" s="25" t="str">
        <f t="shared" si="2"/>
        <v/>
      </c>
    </row>
    <row r="10" spans="1:40" x14ac:dyDescent="0.3">
      <c r="A10" s="14" t="str">
        <f>IF(INDEX(Workers!$B:$B,ROW())="","",INDEX(Workers!$B:$B,ROW()))</f>
        <v/>
      </c>
      <c r="B10" s="21" t="str">
        <f>IF(INDEX(Workers!$C:$C,ROW())="","",INDEX(Workers!$C:$C,ROW()))</f>
        <v/>
      </c>
      <c r="C10" s="21" t="str">
        <f>IF(INDEX(Workers!$D:$D,ROW())="","",INDEX(Workers!$D:$D,ROW()))</f>
        <v/>
      </c>
      <c r="D10" s="22" t="str">
        <f>IF(INDEX(Workers!$E:$E,ROW())="","",INDEX(Workers!$E:$E,ROW()))</f>
        <v/>
      </c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4" t="str">
        <f t="shared" si="0"/>
        <v/>
      </c>
      <c r="AK10" s="24" t="str">
        <f t="shared" si="1"/>
        <v/>
      </c>
      <c r="AL10" s="25" t="str">
        <f>IF(B10="","",AJ10*N(D10)+AK10*N(D10)/Setup!$B$6*Setup!$B$7)</f>
        <v/>
      </c>
      <c r="AM10" s="25" t="str">
        <f>IF(B10="","",SUMIFS(Payments!$D$5:$D$304,Payments!$B$5:$B$304,A10,Payments!$A$5:$A$304,"&gt;="&amp;DATE(Setup!$B$4,6,1),Payments!$A$5:$A$304,"&lt;="&amp;EOMONTH(DATE(Setup!$B$4,6,1),0)))</f>
        <v/>
      </c>
      <c r="AN10" s="25" t="str">
        <f t="shared" si="2"/>
        <v/>
      </c>
    </row>
    <row r="11" spans="1:40" x14ac:dyDescent="0.3">
      <c r="A11" s="14" t="str">
        <f>IF(INDEX(Workers!$B:$B,ROW())="","",INDEX(Workers!$B:$B,ROW()))</f>
        <v/>
      </c>
      <c r="B11" s="21" t="str">
        <f>IF(INDEX(Workers!$C:$C,ROW())="","",INDEX(Workers!$C:$C,ROW()))</f>
        <v/>
      </c>
      <c r="C11" s="21" t="str">
        <f>IF(INDEX(Workers!$D:$D,ROW())="","",INDEX(Workers!$D:$D,ROW()))</f>
        <v/>
      </c>
      <c r="D11" s="22" t="str">
        <f>IF(INDEX(Workers!$E:$E,ROW())="","",INDEX(Workers!$E:$E,ROW()))</f>
        <v/>
      </c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4" t="str">
        <f t="shared" si="0"/>
        <v/>
      </c>
      <c r="AK11" s="24" t="str">
        <f t="shared" si="1"/>
        <v/>
      </c>
      <c r="AL11" s="25" t="str">
        <f>IF(B11="","",AJ11*N(D11)+AK11*N(D11)/Setup!$B$6*Setup!$B$7)</f>
        <v/>
      </c>
      <c r="AM11" s="25" t="str">
        <f>IF(B11="","",SUMIFS(Payments!$D$5:$D$304,Payments!$B$5:$B$304,A11,Payments!$A$5:$A$304,"&gt;="&amp;DATE(Setup!$B$4,6,1),Payments!$A$5:$A$304,"&lt;="&amp;EOMONTH(DATE(Setup!$B$4,6,1),0)))</f>
        <v/>
      </c>
      <c r="AN11" s="25" t="str">
        <f t="shared" si="2"/>
        <v/>
      </c>
    </row>
    <row r="12" spans="1:40" x14ac:dyDescent="0.3">
      <c r="A12" s="14" t="str">
        <f>IF(INDEX(Workers!$B:$B,ROW())="","",INDEX(Workers!$B:$B,ROW()))</f>
        <v/>
      </c>
      <c r="B12" s="21" t="str">
        <f>IF(INDEX(Workers!$C:$C,ROW())="","",INDEX(Workers!$C:$C,ROW()))</f>
        <v/>
      </c>
      <c r="C12" s="21" t="str">
        <f>IF(INDEX(Workers!$D:$D,ROW())="","",INDEX(Workers!$D:$D,ROW()))</f>
        <v/>
      </c>
      <c r="D12" s="22" t="str">
        <f>IF(INDEX(Workers!$E:$E,ROW())="","",INDEX(Workers!$E:$E,ROW()))</f>
        <v/>
      </c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4" t="str">
        <f t="shared" si="0"/>
        <v/>
      </c>
      <c r="AK12" s="24" t="str">
        <f t="shared" si="1"/>
        <v/>
      </c>
      <c r="AL12" s="25" t="str">
        <f>IF(B12="","",AJ12*N(D12)+AK12*N(D12)/Setup!$B$6*Setup!$B$7)</f>
        <v/>
      </c>
      <c r="AM12" s="25" t="str">
        <f>IF(B12="","",SUMIFS(Payments!$D$5:$D$304,Payments!$B$5:$B$304,A12,Payments!$A$5:$A$304,"&gt;="&amp;DATE(Setup!$B$4,6,1),Payments!$A$5:$A$304,"&lt;="&amp;EOMONTH(DATE(Setup!$B$4,6,1),0)))</f>
        <v/>
      </c>
      <c r="AN12" s="25" t="str">
        <f t="shared" si="2"/>
        <v/>
      </c>
    </row>
    <row r="13" spans="1:40" x14ac:dyDescent="0.3">
      <c r="A13" s="14" t="str">
        <f>IF(INDEX(Workers!$B:$B,ROW())="","",INDEX(Workers!$B:$B,ROW()))</f>
        <v/>
      </c>
      <c r="B13" s="21" t="str">
        <f>IF(INDEX(Workers!$C:$C,ROW())="","",INDEX(Workers!$C:$C,ROW()))</f>
        <v/>
      </c>
      <c r="C13" s="21" t="str">
        <f>IF(INDEX(Workers!$D:$D,ROW())="","",INDEX(Workers!$D:$D,ROW()))</f>
        <v/>
      </c>
      <c r="D13" s="22" t="str">
        <f>IF(INDEX(Workers!$E:$E,ROW())="","",INDEX(Workers!$E:$E,ROW()))</f>
        <v/>
      </c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4" t="str">
        <f t="shared" si="0"/>
        <v/>
      </c>
      <c r="AK13" s="24" t="str">
        <f t="shared" si="1"/>
        <v/>
      </c>
      <c r="AL13" s="25" t="str">
        <f>IF(B13="","",AJ13*N(D13)+AK13*N(D13)/Setup!$B$6*Setup!$B$7)</f>
        <v/>
      </c>
      <c r="AM13" s="25" t="str">
        <f>IF(B13="","",SUMIFS(Payments!$D$5:$D$304,Payments!$B$5:$B$304,A13,Payments!$A$5:$A$304,"&gt;="&amp;DATE(Setup!$B$4,6,1),Payments!$A$5:$A$304,"&lt;="&amp;EOMONTH(DATE(Setup!$B$4,6,1),0)))</f>
        <v/>
      </c>
      <c r="AN13" s="25" t="str">
        <f t="shared" si="2"/>
        <v/>
      </c>
    </row>
    <row r="14" spans="1:40" x14ac:dyDescent="0.3">
      <c r="A14" s="14" t="str">
        <f>IF(INDEX(Workers!$B:$B,ROW())="","",INDEX(Workers!$B:$B,ROW()))</f>
        <v/>
      </c>
      <c r="B14" s="21" t="str">
        <f>IF(INDEX(Workers!$C:$C,ROW())="","",INDEX(Workers!$C:$C,ROW()))</f>
        <v/>
      </c>
      <c r="C14" s="21" t="str">
        <f>IF(INDEX(Workers!$D:$D,ROW())="","",INDEX(Workers!$D:$D,ROW()))</f>
        <v/>
      </c>
      <c r="D14" s="22" t="str">
        <f>IF(INDEX(Workers!$E:$E,ROW())="","",INDEX(Workers!$E:$E,ROW()))</f>
        <v/>
      </c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4" t="str">
        <f t="shared" si="0"/>
        <v/>
      </c>
      <c r="AK14" s="24" t="str">
        <f t="shared" si="1"/>
        <v/>
      </c>
      <c r="AL14" s="25" t="str">
        <f>IF(B14="","",AJ14*N(D14)+AK14*N(D14)/Setup!$B$6*Setup!$B$7)</f>
        <v/>
      </c>
      <c r="AM14" s="25" t="str">
        <f>IF(B14="","",SUMIFS(Payments!$D$5:$D$304,Payments!$B$5:$B$304,A14,Payments!$A$5:$A$304,"&gt;="&amp;DATE(Setup!$B$4,6,1),Payments!$A$5:$A$304,"&lt;="&amp;EOMONTH(DATE(Setup!$B$4,6,1),0)))</f>
        <v/>
      </c>
      <c r="AN14" s="25" t="str">
        <f t="shared" si="2"/>
        <v/>
      </c>
    </row>
    <row r="15" spans="1:40" x14ac:dyDescent="0.3">
      <c r="A15" s="14" t="str">
        <f>IF(INDEX(Workers!$B:$B,ROW())="","",INDEX(Workers!$B:$B,ROW()))</f>
        <v/>
      </c>
      <c r="B15" s="21" t="str">
        <f>IF(INDEX(Workers!$C:$C,ROW())="","",INDEX(Workers!$C:$C,ROW()))</f>
        <v/>
      </c>
      <c r="C15" s="21" t="str">
        <f>IF(INDEX(Workers!$D:$D,ROW())="","",INDEX(Workers!$D:$D,ROW()))</f>
        <v/>
      </c>
      <c r="D15" s="22" t="str">
        <f>IF(INDEX(Workers!$E:$E,ROW())="","",INDEX(Workers!$E:$E,ROW()))</f>
        <v/>
      </c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4" t="str">
        <f t="shared" si="0"/>
        <v/>
      </c>
      <c r="AK15" s="24" t="str">
        <f t="shared" si="1"/>
        <v/>
      </c>
      <c r="AL15" s="25" t="str">
        <f>IF(B15="","",AJ15*N(D15)+AK15*N(D15)/Setup!$B$6*Setup!$B$7)</f>
        <v/>
      </c>
      <c r="AM15" s="25" t="str">
        <f>IF(B15="","",SUMIFS(Payments!$D$5:$D$304,Payments!$B$5:$B$304,A15,Payments!$A$5:$A$304,"&gt;="&amp;DATE(Setup!$B$4,6,1),Payments!$A$5:$A$304,"&lt;="&amp;EOMONTH(DATE(Setup!$B$4,6,1),0)))</f>
        <v/>
      </c>
      <c r="AN15" s="25" t="str">
        <f t="shared" si="2"/>
        <v/>
      </c>
    </row>
    <row r="16" spans="1:40" x14ac:dyDescent="0.3">
      <c r="A16" s="14" t="str">
        <f>IF(INDEX(Workers!$B:$B,ROW())="","",INDEX(Workers!$B:$B,ROW()))</f>
        <v/>
      </c>
      <c r="B16" s="21" t="str">
        <f>IF(INDEX(Workers!$C:$C,ROW())="","",INDEX(Workers!$C:$C,ROW()))</f>
        <v/>
      </c>
      <c r="C16" s="21" t="str">
        <f>IF(INDEX(Workers!$D:$D,ROW())="","",INDEX(Workers!$D:$D,ROW()))</f>
        <v/>
      </c>
      <c r="D16" s="22" t="str">
        <f>IF(INDEX(Workers!$E:$E,ROW())="","",INDEX(Workers!$E:$E,ROW()))</f>
        <v/>
      </c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4" t="str">
        <f t="shared" si="0"/>
        <v/>
      </c>
      <c r="AK16" s="24" t="str">
        <f t="shared" si="1"/>
        <v/>
      </c>
      <c r="AL16" s="25" t="str">
        <f>IF(B16="","",AJ16*N(D16)+AK16*N(D16)/Setup!$B$6*Setup!$B$7)</f>
        <v/>
      </c>
      <c r="AM16" s="25" t="str">
        <f>IF(B16="","",SUMIFS(Payments!$D$5:$D$304,Payments!$B$5:$B$304,A16,Payments!$A$5:$A$304,"&gt;="&amp;DATE(Setup!$B$4,6,1),Payments!$A$5:$A$304,"&lt;="&amp;EOMONTH(DATE(Setup!$B$4,6,1),0)))</f>
        <v/>
      </c>
      <c r="AN16" s="25" t="str">
        <f t="shared" si="2"/>
        <v/>
      </c>
    </row>
    <row r="17" spans="1:40" x14ac:dyDescent="0.3">
      <c r="A17" s="14" t="str">
        <f>IF(INDEX(Workers!$B:$B,ROW())="","",INDEX(Workers!$B:$B,ROW()))</f>
        <v/>
      </c>
      <c r="B17" s="21" t="str">
        <f>IF(INDEX(Workers!$C:$C,ROW())="","",INDEX(Workers!$C:$C,ROW()))</f>
        <v/>
      </c>
      <c r="C17" s="21" t="str">
        <f>IF(INDEX(Workers!$D:$D,ROW())="","",INDEX(Workers!$D:$D,ROW()))</f>
        <v/>
      </c>
      <c r="D17" s="22" t="str">
        <f>IF(INDEX(Workers!$E:$E,ROW())="","",INDEX(Workers!$E:$E,ROW()))</f>
        <v/>
      </c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4" t="str">
        <f t="shared" si="0"/>
        <v/>
      </c>
      <c r="AK17" s="24" t="str">
        <f t="shared" si="1"/>
        <v/>
      </c>
      <c r="AL17" s="25" t="str">
        <f>IF(B17="","",AJ17*N(D17)+AK17*N(D17)/Setup!$B$6*Setup!$B$7)</f>
        <v/>
      </c>
      <c r="AM17" s="25" t="str">
        <f>IF(B17="","",SUMIFS(Payments!$D$5:$D$304,Payments!$B$5:$B$304,A17,Payments!$A$5:$A$304,"&gt;="&amp;DATE(Setup!$B$4,6,1),Payments!$A$5:$A$304,"&lt;="&amp;EOMONTH(DATE(Setup!$B$4,6,1),0)))</f>
        <v/>
      </c>
      <c r="AN17" s="25" t="str">
        <f t="shared" si="2"/>
        <v/>
      </c>
    </row>
    <row r="18" spans="1:40" x14ac:dyDescent="0.3">
      <c r="A18" s="14" t="str">
        <f>IF(INDEX(Workers!$B:$B,ROW())="","",INDEX(Workers!$B:$B,ROW()))</f>
        <v/>
      </c>
      <c r="B18" s="21" t="str">
        <f>IF(INDEX(Workers!$C:$C,ROW())="","",INDEX(Workers!$C:$C,ROW()))</f>
        <v/>
      </c>
      <c r="C18" s="21" t="str">
        <f>IF(INDEX(Workers!$D:$D,ROW())="","",INDEX(Workers!$D:$D,ROW()))</f>
        <v/>
      </c>
      <c r="D18" s="22" t="str">
        <f>IF(INDEX(Workers!$E:$E,ROW())="","",INDEX(Workers!$E:$E,ROW()))</f>
        <v/>
      </c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4" t="str">
        <f t="shared" si="0"/>
        <v/>
      </c>
      <c r="AK18" s="24" t="str">
        <f t="shared" si="1"/>
        <v/>
      </c>
      <c r="AL18" s="25" t="str">
        <f>IF(B18="","",AJ18*N(D18)+AK18*N(D18)/Setup!$B$6*Setup!$B$7)</f>
        <v/>
      </c>
      <c r="AM18" s="25" t="str">
        <f>IF(B18="","",SUMIFS(Payments!$D$5:$D$304,Payments!$B$5:$B$304,A18,Payments!$A$5:$A$304,"&gt;="&amp;DATE(Setup!$B$4,6,1),Payments!$A$5:$A$304,"&lt;="&amp;EOMONTH(DATE(Setup!$B$4,6,1),0)))</f>
        <v/>
      </c>
      <c r="AN18" s="25" t="str">
        <f t="shared" si="2"/>
        <v/>
      </c>
    </row>
    <row r="19" spans="1:40" x14ac:dyDescent="0.3">
      <c r="A19" s="14" t="str">
        <f>IF(INDEX(Workers!$B:$B,ROW())="","",INDEX(Workers!$B:$B,ROW()))</f>
        <v/>
      </c>
      <c r="B19" s="21" t="str">
        <f>IF(INDEX(Workers!$C:$C,ROW())="","",INDEX(Workers!$C:$C,ROW()))</f>
        <v/>
      </c>
      <c r="C19" s="21" t="str">
        <f>IF(INDEX(Workers!$D:$D,ROW())="","",INDEX(Workers!$D:$D,ROW()))</f>
        <v/>
      </c>
      <c r="D19" s="22" t="str">
        <f>IF(INDEX(Workers!$E:$E,ROW())="","",INDEX(Workers!$E:$E,ROW()))</f>
        <v/>
      </c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4" t="str">
        <f t="shared" si="0"/>
        <v/>
      </c>
      <c r="AK19" s="24" t="str">
        <f t="shared" si="1"/>
        <v/>
      </c>
      <c r="AL19" s="25" t="str">
        <f>IF(B19="","",AJ19*N(D19)+AK19*N(D19)/Setup!$B$6*Setup!$B$7)</f>
        <v/>
      </c>
      <c r="AM19" s="25" t="str">
        <f>IF(B19="","",SUMIFS(Payments!$D$5:$D$304,Payments!$B$5:$B$304,A19,Payments!$A$5:$A$304,"&gt;="&amp;DATE(Setup!$B$4,6,1),Payments!$A$5:$A$304,"&lt;="&amp;EOMONTH(DATE(Setup!$B$4,6,1),0)))</f>
        <v/>
      </c>
      <c r="AN19" s="25" t="str">
        <f t="shared" si="2"/>
        <v/>
      </c>
    </row>
    <row r="20" spans="1:40" x14ac:dyDescent="0.3">
      <c r="A20" s="14" t="str">
        <f>IF(INDEX(Workers!$B:$B,ROW())="","",INDEX(Workers!$B:$B,ROW()))</f>
        <v/>
      </c>
      <c r="B20" s="21" t="str">
        <f>IF(INDEX(Workers!$C:$C,ROW())="","",INDEX(Workers!$C:$C,ROW()))</f>
        <v/>
      </c>
      <c r="C20" s="21" t="str">
        <f>IF(INDEX(Workers!$D:$D,ROW())="","",INDEX(Workers!$D:$D,ROW()))</f>
        <v/>
      </c>
      <c r="D20" s="22" t="str">
        <f>IF(INDEX(Workers!$E:$E,ROW())="","",INDEX(Workers!$E:$E,ROW()))</f>
        <v/>
      </c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4" t="str">
        <f t="shared" si="0"/>
        <v/>
      </c>
      <c r="AK20" s="24" t="str">
        <f t="shared" si="1"/>
        <v/>
      </c>
      <c r="AL20" s="25" t="str">
        <f>IF(B20="","",AJ20*N(D20)+AK20*N(D20)/Setup!$B$6*Setup!$B$7)</f>
        <v/>
      </c>
      <c r="AM20" s="25" t="str">
        <f>IF(B20="","",SUMIFS(Payments!$D$5:$D$304,Payments!$B$5:$B$304,A20,Payments!$A$5:$A$304,"&gt;="&amp;DATE(Setup!$B$4,6,1),Payments!$A$5:$A$304,"&lt;="&amp;EOMONTH(DATE(Setup!$B$4,6,1),0)))</f>
        <v/>
      </c>
      <c r="AN20" s="25" t="str">
        <f t="shared" si="2"/>
        <v/>
      </c>
    </row>
    <row r="21" spans="1:40" x14ac:dyDescent="0.3">
      <c r="A21" s="14" t="str">
        <f>IF(INDEX(Workers!$B:$B,ROW())="","",INDEX(Workers!$B:$B,ROW()))</f>
        <v/>
      </c>
      <c r="B21" s="21" t="str">
        <f>IF(INDEX(Workers!$C:$C,ROW())="","",INDEX(Workers!$C:$C,ROW()))</f>
        <v/>
      </c>
      <c r="C21" s="21" t="str">
        <f>IF(INDEX(Workers!$D:$D,ROW())="","",INDEX(Workers!$D:$D,ROW()))</f>
        <v/>
      </c>
      <c r="D21" s="22" t="str">
        <f>IF(INDEX(Workers!$E:$E,ROW())="","",INDEX(Workers!$E:$E,ROW()))</f>
        <v/>
      </c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4" t="str">
        <f t="shared" si="0"/>
        <v/>
      </c>
      <c r="AK21" s="24" t="str">
        <f t="shared" si="1"/>
        <v/>
      </c>
      <c r="AL21" s="25" t="str">
        <f>IF(B21="","",AJ21*N(D21)+AK21*N(D21)/Setup!$B$6*Setup!$B$7)</f>
        <v/>
      </c>
      <c r="AM21" s="25" t="str">
        <f>IF(B21="","",SUMIFS(Payments!$D$5:$D$304,Payments!$B$5:$B$304,A21,Payments!$A$5:$A$304,"&gt;="&amp;DATE(Setup!$B$4,6,1),Payments!$A$5:$A$304,"&lt;="&amp;EOMONTH(DATE(Setup!$B$4,6,1),0)))</f>
        <v/>
      </c>
      <c r="AN21" s="25" t="str">
        <f t="shared" si="2"/>
        <v/>
      </c>
    </row>
    <row r="22" spans="1:40" x14ac:dyDescent="0.3">
      <c r="A22" s="14" t="str">
        <f>IF(INDEX(Workers!$B:$B,ROW())="","",INDEX(Workers!$B:$B,ROW()))</f>
        <v/>
      </c>
      <c r="B22" s="21" t="str">
        <f>IF(INDEX(Workers!$C:$C,ROW())="","",INDEX(Workers!$C:$C,ROW()))</f>
        <v/>
      </c>
      <c r="C22" s="21" t="str">
        <f>IF(INDEX(Workers!$D:$D,ROW())="","",INDEX(Workers!$D:$D,ROW()))</f>
        <v/>
      </c>
      <c r="D22" s="22" t="str">
        <f>IF(INDEX(Workers!$E:$E,ROW())="","",INDEX(Workers!$E:$E,ROW()))</f>
        <v/>
      </c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4" t="str">
        <f t="shared" si="0"/>
        <v/>
      </c>
      <c r="AK22" s="24" t="str">
        <f t="shared" si="1"/>
        <v/>
      </c>
      <c r="AL22" s="25" t="str">
        <f>IF(B22="","",AJ22*N(D22)+AK22*N(D22)/Setup!$B$6*Setup!$B$7)</f>
        <v/>
      </c>
      <c r="AM22" s="25" t="str">
        <f>IF(B22="","",SUMIFS(Payments!$D$5:$D$304,Payments!$B$5:$B$304,A22,Payments!$A$5:$A$304,"&gt;="&amp;DATE(Setup!$B$4,6,1),Payments!$A$5:$A$304,"&lt;="&amp;EOMONTH(DATE(Setup!$B$4,6,1),0)))</f>
        <v/>
      </c>
      <c r="AN22" s="25" t="str">
        <f t="shared" si="2"/>
        <v/>
      </c>
    </row>
    <row r="23" spans="1:40" x14ac:dyDescent="0.3">
      <c r="A23" s="14" t="str">
        <f>IF(INDEX(Workers!$B:$B,ROW())="","",INDEX(Workers!$B:$B,ROW()))</f>
        <v/>
      </c>
      <c r="B23" s="21" t="str">
        <f>IF(INDEX(Workers!$C:$C,ROW())="","",INDEX(Workers!$C:$C,ROW()))</f>
        <v/>
      </c>
      <c r="C23" s="21" t="str">
        <f>IF(INDEX(Workers!$D:$D,ROW())="","",INDEX(Workers!$D:$D,ROW()))</f>
        <v/>
      </c>
      <c r="D23" s="22" t="str">
        <f>IF(INDEX(Workers!$E:$E,ROW())="","",INDEX(Workers!$E:$E,ROW()))</f>
        <v/>
      </c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4" t="str">
        <f t="shared" si="0"/>
        <v/>
      </c>
      <c r="AK23" s="24" t="str">
        <f t="shared" si="1"/>
        <v/>
      </c>
      <c r="AL23" s="25" t="str">
        <f>IF(B23="","",AJ23*N(D23)+AK23*N(D23)/Setup!$B$6*Setup!$B$7)</f>
        <v/>
      </c>
      <c r="AM23" s="25" t="str">
        <f>IF(B23="","",SUMIFS(Payments!$D$5:$D$304,Payments!$B$5:$B$304,A23,Payments!$A$5:$A$304,"&gt;="&amp;DATE(Setup!$B$4,6,1),Payments!$A$5:$A$304,"&lt;="&amp;EOMONTH(DATE(Setup!$B$4,6,1),0)))</f>
        <v/>
      </c>
      <c r="AN23" s="25" t="str">
        <f t="shared" si="2"/>
        <v/>
      </c>
    </row>
    <row r="24" spans="1:40" x14ac:dyDescent="0.3">
      <c r="A24" s="14" t="str">
        <f>IF(INDEX(Workers!$B:$B,ROW())="","",INDEX(Workers!$B:$B,ROW()))</f>
        <v/>
      </c>
      <c r="B24" s="21" t="str">
        <f>IF(INDEX(Workers!$C:$C,ROW())="","",INDEX(Workers!$C:$C,ROW()))</f>
        <v/>
      </c>
      <c r="C24" s="21" t="str">
        <f>IF(INDEX(Workers!$D:$D,ROW())="","",INDEX(Workers!$D:$D,ROW()))</f>
        <v/>
      </c>
      <c r="D24" s="22" t="str">
        <f>IF(INDEX(Workers!$E:$E,ROW())="","",INDEX(Workers!$E:$E,ROW()))</f>
        <v/>
      </c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4" t="str">
        <f t="shared" si="0"/>
        <v/>
      </c>
      <c r="AK24" s="24" t="str">
        <f t="shared" si="1"/>
        <v/>
      </c>
      <c r="AL24" s="25" t="str">
        <f>IF(B24="","",AJ24*N(D24)+AK24*N(D24)/Setup!$B$6*Setup!$B$7)</f>
        <v/>
      </c>
      <c r="AM24" s="25" t="str">
        <f>IF(B24="","",SUMIFS(Payments!$D$5:$D$304,Payments!$B$5:$B$304,A24,Payments!$A$5:$A$304,"&gt;="&amp;DATE(Setup!$B$4,6,1),Payments!$A$5:$A$304,"&lt;="&amp;EOMONTH(DATE(Setup!$B$4,6,1),0)))</f>
        <v/>
      </c>
      <c r="AN24" s="25" t="str">
        <f t="shared" si="2"/>
        <v/>
      </c>
    </row>
    <row r="25" spans="1:40" x14ac:dyDescent="0.3">
      <c r="A25" s="14" t="str">
        <f>IF(INDEX(Workers!$B:$B,ROW())="","",INDEX(Workers!$B:$B,ROW()))</f>
        <v/>
      </c>
      <c r="B25" s="21" t="str">
        <f>IF(INDEX(Workers!$C:$C,ROW())="","",INDEX(Workers!$C:$C,ROW()))</f>
        <v/>
      </c>
      <c r="C25" s="21" t="str">
        <f>IF(INDEX(Workers!$D:$D,ROW())="","",INDEX(Workers!$D:$D,ROW()))</f>
        <v/>
      </c>
      <c r="D25" s="22" t="str">
        <f>IF(INDEX(Workers!$E:$E,ROW())="","",INDEX(Workers!$E:$E,ROW()))</f>
        <v/>
      </c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4" t="str">
        <f t="shared" si="0"/>
        <v/>
      </c>
      <c r="AK25" s="24" t="str">
        <f t="shared" si="1"/>
        <v/>
      </c>
      <c r="AL25" s="25" t="str">
        <f>IF(B25="","",AJ25*N(D25)+AK25*N(D25)/Setup!$B$6*Setup!$B$7)</f>
        <v/>
      </c>
      <c r="AM25" s="25" t="str">
        <f>IF(B25="","",SUMIFS(Payments!$D$5:$D$304,Payments!$B$5:$B$304,A25,Payments!$A$5:$A$304,"&gt;="&amp;DATE(Setup!$B$4,6,1),Payments!$A$5:$A$304,"&lt;="&amp;EOMONTH(DATE(Setup!$B$4,6,1),0)))</f>
        <v/>
      </c>
      <c r="AN25" s="25" t="str">
        <f t="shared" si="2"/>
        <v/>
      </c>
    </row>
    <row r="26" spans="1:40" x14ac:dyDescent="0.3">
      <c r="A26" s="14" t="str">
        <f>IF(INDEX(Workers!$B:$B,ROW())="","",INDEX(Workers!$B:$B,ROW()))</f>
        <v/>
      </c>
      <c r="B26" s="21" t="str">
        <f>IF(INDEX(Workers!$C:$C,ROW())="","",INDEX(Workers!$C:$C,ROW()))</f>
        <v/>
      </c>
      <c r="C26" s="21" t="str">
        <f>IF(INDEX(Workers!$D:$D,ROW())="","",INDEX(Workers!$D:$D,ROW()))</f>
        <v/>
      </c>
      <c r="D26" s="22" t="str">
        <f>IF(INDEX(Workers!$E:$E,ROW())="","",INDEX(Workers!$E:$E,ROW()))</f>
        <v/>
      </c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4" t="str">
        <f t="shared" si="0"/>
        <v/>
      </c>
      <c r="AK26" s="24" t="str">
        <f t="shared" si="1"/>
        <v/>
      </c>
      <c r="AL26" s="25" t="str">
        <f>IF(B26="","",AJ26*N(D26)+AK26*N(D26)/Setup!$B$6*Setup!$B$7)</f>
        <v/>
      </c>
      <c r="AM26" s="25" t="str">
        <f>IF(B26="","",SUMIFS(Payments!$D$5:$D$304,Payments!$B$5:$B$304,A26,Payments!$A$5:$A$304,"&gt;="&amp;DATE(Setup!$B$4,6,1),Payments!$A$5:$A$304,"&lt;="&amp;EOMONTH(DATE(Setup!$B$4,6,1),0)))</f>
        <v/>
      </c>
      <c r="AN26" s="25" t="str">
        <f t="shared" si="2"/>
        <v/>
      </c>
    </row>
    <row r="27" spans="1:40" x14ac:dyDescent="0.3">
      <c r="A27" s="14" t="str">
        <f>IF(INDEX(Workers!$B:$B,ROW())="","",INDEX(Workers!$B:$B,ROW()))</f>
        <v/>
      </c>
      <c r="B27" s="21" t="str">
        <f>IF(INDEX(Workers!$C:$C,ROW())="","",INDEX(Workers!$C:$C,ROW()))</f>
        <v/>
      </c>
      <c r="C27" s="21" t="str">
        <f>IF(INDEX(Workers!$D:$D,ROW())="","",INDEX(Workers!$D:$D,ROW()))</f>
        <v/>
      </c>
      <c r="D27" s="22" t="str">
        <f>IF(INDEX(Workers!$E:$E,ROW())="","",INDEX(Workers!$E:$E,ROW()))</f>
        <v/>
      </c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4" t="str">
        <f t="shared" si="0"/>
        <v/>
      </c>
      <c r="AK27" s="24" t="str">
        <f t="shared" si="1"/>
        <v/>
      </c>
      <c r="AL27" s="25" t="str">
        <f>IF(B27="","",AJ27*N(D27)+AK27*N(D27)/Setup!$B$6*Setup!$B$7)</f>
        <v/>
      </c>
      <c r="AM27" s="25" t="str">
        <f>IF(B27="","",SUMIFS(Payments!$D$5:$D$304,Payments!$B$5:$B$304,A27,Payments!$A$5:$A$304,"&gt;="&amp;DATE(Setup!$B$4,6,1),Payments!$A$5:$A$304,"&lt;="&amp;EOMONTH(DATE(Setup!$B$4,6,1),0)))</f>
        <v/>
      </c>
      <c r="AN27" s="25" t="str">
        <f t="shared" si="2"/>
        <v/>
      </c>
    </row>
    <row r="28" spans="1:40" x14ac:dyDescent="0.3">
      <c r="A28" s="14" t="str">
        <f>IF(INDEX(Workers!$B:$B,ROW())="","",INDEX(Workers!$B:$B,ROW()))</f>
        <v/>
      </c>
      <c r="B28" s="21" t="str">
        <f>IF(INDEX(Workers!$C:$C,ROW())="","",INDEX(Workers!$C:$C,ROW()))</f>
        <v/>
      </c>
      <c r="C28" s="21" t="str">
        <f>IF(INDEX(Workers!$D:$D,ROW())="","",INDEX(Workers!$D:$D,ROW()))</f>
        <v/>
      </c>
      <c r="D28" s="22" t="str">
        <f>IF(INDEX(Workers!$E:$E,ROW())="","",INDEX(Workers!$E:$E,ROW()))</f>
        <v/>
      </c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4" t="str">
        <f t="shared" si="0"/>
        <v/>
      </c>
      <c r="AK28" s="24" t="str">
        <f t="shared" si="1"/>
        <v/>
      </c>
      <c r="AL28" s="25" t="str">
        <f>IF(B28="","",AJ28*N(D28)+AK28*N(D28)/Setup!$B$6*Setup!$B$7)</f>
        <v/>
      </c>
      <c r="AM28" s="25" t="str">
        <f>IF(B28="","",SUMIFS(Payments!$D$5:$D$304,Payments!$B$5:$B$304,A28,Payments!$A$5:$A$304,"&gt;="&amp;DATE(Setup!$B$4,6,1),Payments!$A$5:$A$304,"&lt;="&amp;EOMONTH(DATE(Setup!$B$4,6,1),0)))</f>
        <v/>
      </c>
      <c r="AN28" s="25" t="str">
        <f t="shared" si="2"/>
        <v/>
      </c>
    </row>
    <row r="29" spans="1:40" x14ac:dyDescent="0.3">
      <c r="A29" s="14" t="str">
        <f>IF(INDEX(Workers!$B:$B,ROW())="","",INDEX(Workers!$B:$B,ROW()))</f>
        <v/>
      </c>
      <c r="B29" s="21" t="str">
        <f>IF(INDEX(Workers!$C:$C,ROW())="","",INDEX(Workers!$C:$C,ROW()))</f>
        <v/>
      </c>
      <c r="C29" s="21" t="str">
        <f>IF(INDEX(Workers!$D:$D,ROW())="","",INDEX(Workers!$D:$D,ROW()))</f>
        <v/>
      </c>
      <c r="D29" s="22" t="str">
        <f>IF(INDEX(Workers!$E:$E,ROW())="","",INDEX(Workers!$E:$E,ROW()))</f>
        <v/>
      </c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4" t="str">
        <f t="shared" si="0"/>
        <v/>
      </c>
      <c r="AK29" s="24" t="str">
        <f t="shared" si="1"/>
        <v/>
      </c>
      <c r="AL29" s="25" t="str">
        <f>IF(B29="","",AJ29*N(D29)+AK29*N(D29)/Setup!$B$6*Setup!$B$7)</f>
        <v/>
      </c>
      <c r="AM29" s="25" t="str">
        <f>IF(B29="","",SUMIFS(Payments!$D$5:$D$304,Payments!$B$5:$B$304,A29,Payments!$A$5:$A$304,"&gt;="&amp;DATE(Setup!$B$4,6,1),Payments!$A$5:$A$304,"&lt;="&amp;EOMONTH(DATE(Setup!$B$4,6,1),0)))</f>
        <v/>
      </c>
      <c r="AN29" s="25" t="str">
        <f t="shared" si="2"/>
        <v/>
      </c>
    </row>
    <row r="30" spans="1:40" x14ac:dyDescent="0.3">
      <c r="A30" s="14" t="str">
        <f>IF(INDEX(Workers!$B:$B,ROW())="","",INDEX(Workers!$B:$B,ROW()))</f>
        <v/>
      </c>
      <c r="B30" s="21" t="str">
        <f>IF(INDEX(Workers!$C:$C,ROW())="","",INDEX(Workers!$C:$C,ROW()))</f>
        <v/>
      </c>
      <c r="C30" s="21" t="str">
        <f>IF(INDEX(Workers!$D:$D,ROW())="","",INDEX(Workers!$D:$D,ROW()))</f>
        <v/>
      </c>
      <c r="D30" s="22" t="str">
        <f>IF(INDEX(Workers!$E:$E,ROW())="","",INDEX(Workers!$E:$E,ROW()))</f>
        <v/>
      </c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4" t="str">
        <f t="shared" si="0"/>
        <v/>
      </c>
      <c r="AK30" s="24" t="str">
        <f t="shared" si="1"/>
        <v/>
      </c>
      <c r="AL30" s="25" t="str">
        <f>IF(B30="","",AJ30*N(D30)+AK30*N(D30)/Setup!$B$6*Setup!$B$7)</f>
        <v/>
      </c>
      <c r="AM30" s="25" t="str">
        <f>IF(B30="","",SUMIFS(Payments!$D$5:$D$304,Payments!$B$5:$B$304,A30,Payments!$A$5:$A$304,"&gt;="&amp;DATE(Setup!$B$4,6,1),Payments!$A$5:$A$304,"&lt;="&amp;EOMONTH(DATE(Setup!$B$4,6,1),0)))</f>
        <v/>
      </c>
      <c r="AN30" s="25" t="str">
        <f t="shared" si="2"/>
        <v/>
      </c>
    </row>
    <row r="31" spans="1:40" x14ac:dyDescent="0.3">
      <c r="A31" s="14" t="str">
        <f>IF(INDEX(Workers!$B:$B,ROW())="","",INDEX(Workers!$B:$B,ROW()))</f>
        <v/>
      </c>
      <c r="B31" s="21" t="str">
        <f>IF(INDEX(Workers!$C:$C,ROW())="","",INDEX(Workers!$C:$C,ROW()))</f>
        <v/>
      </c>
      <c r="C31" s="21" t="str">
        <f>IF(INDEX(Workers!$D:$D,ROW())="","",INDEX(Workers!$D:$D,ROW()))</f>
        <v/>
      </c>
      <c r="D31" s="22" t="str">
        <f>IF(INDEX(Workers!$E:$E,ROW())="","",INDEX(Workers!$E:$E,ROW()))</f>
        <v/>
      </c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4" t="str">
        <f t="shared" si="0"/>
        <v/>
      </c>
      <c r="AK31" s="24" t="str">
        <f t="shared" si="1"/>
        <v/>
      </c>
      <c r="AL31" s="25" t="str">
        <f>IF(B31="","",AJ31*N(D31)+AK31*N(D31)/Setup!$B$6*Setup!$B$7)</f>
        <v/>
      </c>
      <c r="AM31" s="25" t="str">
        <f>IF(B31="","",SUMIFS(Payments!$D$5:$D$304,Payments!$B$5:$B$304,A31,Payments!$A$5:$A$304,"&gt;="&amp;DATE(Setup!$B$4,6,1),Payments!$A$5:$A$304,"&lt;="&amp;EOMONTH(DATE(Setup!$B$4,6,1),0)))</f>
        <v/>
      </c>
      <c r="AN31" s="25" t="str">
        <f t="shared" si="2"/>
        <v/>
      </c>
    </row>
    <row r="32" spans="1:40" x14ac:dyDescent="0.3">
      <c r="A32" s="14" t="str">
        <f>IF(INDEX(Workers!$B:$B,ROW())="","",INDEX(Workers!$B:$B,ROW()))</f>
        <v/>
      </c>
      <c r="B32" s="21" t="str">
        <f>IF(INDEX(Workers!$C:$C,ROW())="","",INDEX(Workers!$C:$C,ROW()))</f>
        <v/>
      </c>
      <c r="C32" s="21" t="str">
        <f>IF(INDEX(Workers!$D:$D,ROW())="","",INDEX(Workers!$D:$D,ROW()))</f>
        <v/>
      </c>
      <c r="D32" s="22" t="str">
        <f>IF(INDEX(Workers!$E:$E,ROW())="","",INDEX(Workers!$E:$E,ROW()))</f>
        <v/>
      </c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4" t="str">
        <f t="shared" si="0"/>
        <v/>
      </c>
      <c r="AK32" s="24" t="str">
        <f t="shared" si="1"/>
        <v/>
      </c>
      <c r="AL32" s="25" t="str">
        <f>IF(B32="","",AJ32*N(D32)+AK32*N(D32)/Setup!$B$6*Setup!$B$7)</f>
        <v/>
      </c>
      <c r="AM32" s="25" t="str">
        <f>IF(B32="","",SUMIFS(Payments!$D$5:$D$304,Payments!$B$5:$B$304,A32,Payments!$A$5:$A$304,"&gt;="&amp;DATE(Setup!$B$4,6,1),Payments!$A$5:$A$304,"&lt;="&amp;EOMONTH(DATE(Setup!$B$4,6,1),0)))</f>
        <v/>
      </c>
      <c r="AN32" s="25" t="str">
        <f t="shared" si="2"/>
        <v/>
      </c>
    </row>
    <row r="33" spans="1:40" x14ac:dyDescent="0.3">
      <c r="A33" s="14" t="str">
        <f>IF(INDEX(Workers!$B:$B,ROW())="","",INDEX(Workers!$B:$B,ROW()))</f>
        <v/>
      </c>
      <c r="B33" s="21" t="str">
        <f>IF(INDEX(Workers!$C:$C,ROW())="","",INDEX(Workers!$C:$C,ROW()))</f>
        <v/>
      </c>
      <c r="C33" s="21" t="str">
        <f>IF(INDEX(Workers!$D:$D,ROW())="","",INDEX(Workers!$D:$D,ROW()))</f>
        <v/>
      </c>
      <c r="D33" s="22" t="str">
        <f>IF(INDEX(Workers!$E:$E,ROW())="","",INDEX(Workers!$E:$E,ROW()))</f>
        <v/>
      </c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4" t="str">
        <f t="shared" si="0"/>
        <v/>
      </c>
      <c r="AK33" s="24" t="str">
        <f t="shared" si="1"/>
        <v/>
      </c>
      <c r="AL33" s="25" t="str">
        <f>IF(B33="","",AJ33*N(D33)+AK33*N(D33)/Setup!$B$6*Setup!$B$7)</f>
        <v/>
      </c>
      <c r="AM33" s="25" t="str">
        <f>IF(B33="","",SUMIFS(Payments!$D$5:$D$304,Payments!$B$5:$B$304,A33,Payments!$A$5:$A$304,"&gt;="&amp;DATE(Setup!$B$4,6,1),Payments!$A$5:$A$304,"&lt;="&amp;EOMONTH(DATE(Setup!$B$4,6,1),0)))</f>
        <v/>
      </c>
      <c r="AN33" s="25" t="str">
        <f t="shared" si="2"/>
        <v/>
      </c>
    </row>
    <row r="34" spans="1:40" x14ac:dyDescent="0.3">
      <c r="A34" s="14" t="str">
        <f>IF(INDEX(Workers!$B:$B,ROW())="","",INDEX(Workers!$B:$B,ROW()))</f>
        <v/>
      </c>
      <c r="B34" s="21" t="str">
        <f>IF(INDEX(Workers!$C:$C,ROW())="","",INDEX(Workers!$C:$C,ROW()))</f>
        <v/>
      </c>
      <c r="C34" s="21" t="str">
        <f>IF(INDEX(Workers!$D:$D,ROW())="","",INDEX(Workers!$D:$D,ROW()))</f>
        <v/>
      </c>
      <c r="D34" s="22" t="str">
        <f>IF(INDEX(Workers!$E:$E,ROW())="","",INDEX(Workers!$E:$E,ROW()))</f>
        <v/>
      </c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4" t="str">
        <f t="shared" si="0"/>
        <v/>
      </c>
      <c r="AK34" s="24" t="str">
        <f t="shared" si="1"/>
        <v/>
      </c>
      <c r="AL34" s="25" t="str">
        <f>IF(B34="","",AJ34*N(D34)+AK34*N(D34)/Setup!$B$6*Setup!$B$7)</f>
        <v/>
      </c>
      <c r="AM34" s="25" t="str">
        <f>IF(B34="","",SUMIFS(Payments!$D$5:$D$304,Payments!$B$5:$B$304,A34,Payments!$A$5:$A$304,"&gt;="&amp;DATE(Setup!$B$4,6,1),Payments!$A$5:$A$304,"&lt;="&amp;EOMONTH(DATE(Setup!$B$4,6,1),0)))</f>
        <v/>
      </c>
      <c r="AN34" s="25" t="str">
        <f t="shared" si="2"/>
        <v/>
      </c>
    </row>
    <row r="35" spans="1:40" x14ac:dyDescent="0.3">
      <c r="A35" s="14" t="str">
        <f>IF(INDEX(Workers!$B:$B,ROW())="","",INDEX(Workers!$B:$B,ROW()))</f>
        <v/>
      </c>
      <c r="B35" s="21" t="str">
        <f>IF(INDEX(Workers!$C:$C,ROW())="","",INDEX(Workers!$C:$C,ROW()))</f>
        <v/>
      </c>
      <c r="C35" s="21" t="str">
        <f>IF(INDEX(Workers!$D:$D,ROW())="","",INDEX(Workers!$D:$D,ROW()))</f>
        <v/>
      </c>
      <c r="D35" s="22" t="str">
        <f>IF(INDEX(Workers!$E:$E,ROW())="","",INDEX(Workers!$E:$E,ROW()))</f>
        <v/>
      </c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4" t="str">
        <f t="shared" si="0"/>
        <v/>
      </c>
      <c r="AK35" s="24" t="str">
        <f t="shared" si="1"/>
        <v/>
      </c>
      <c r="AL35" s="25" t="str">
        <f>IF(B35="","",AJ35*N(D35)+AK35*N(D35)/Setup!$B$6*Setup!$B$7)</f>
        <v/>
      </c>
      <c r="AM35" s="25" t="str">
        <f>IF(B35="","",SUMIFS(Payments!$D$5:$D$304,Payments!$B$5:$B$304,A35,Payments!$A$5:$A$304,"&gt;="&amp;DATE(Setup!$B$4,6,1),Payments!$A$5:$A$304,"&lt;="&amp;EOMONTH(DATE(Setup!$B$4,6,1),0)))</f>
        <v/>
      </c>
      <c r="AN35" s="25" t="str">
        <f t="shared" si="2"/>
        <v/>
      </c>
    </row>
    <row r="36" spans="1:40" x14ac:dyDescent="0.3">
      <c r="A36" s="14" t="str">
        <f>IF(INDEX(Workers!$B:$B,ROW())="","",INDEX(Workers!$B:$B,ROW()))</f>
        <v/>
      </c>
      <c r="B36" s="21" t="str">
        <f>IF(INDEX(Workers!$C:$C,ROW())="","",INDEX(Workers!$C:$C,ROW()))</f>
        <v/>
      </c>
      <c r="C36" s="21" t="str">
        <f>IF(INDEX(Workers!$D:$D,ROW())="","",INDEX(Workers!$D:$D,ROW()))</f>
        <v/>
      </c>
      <c r="D36" s="22" t="str">
        <f>IF(INDEX(Workers!$E:$E,ROW())="","",INDEX(Workers!$E:$E,ROW()))</f>
        <v/>
      </c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4" t="str">
        <f t="shared" si="0"/>
        <v/>
      </c>
      <c r="AK36" s="24" t="str">
        <f t="shared" si="1"/>
        <v/>
      </c>
      <c r="AL36" s="25" t="str">
        <f>IF(B36="","",AJ36*N(D36)+AK36*N(D36)/Setup!$B$6*Setup!$B$7)</f>
        <v/>
      </c>
      <c r="AM36" s="25" t="str">
        <f>IF(B36="","",SUMIFS(Payments!$D$5:$D$304,Payments!$B$5:$B$304,A36,Payments!$A$5:$A$304,"&gt;="&amp;DATE(Setup!$B$4,6,1),Payments!$A$5:$A$304,"&lt;="&amp;EOMONTH(DATE(Setup!$B$4,6,1),0)))</f>
        <v/>
      </c>
      <c r="AN36" s="25" t="str">
        <f t="shared" si="2"/>
        <v/>
      </c>
    </row>
    <row r="37" spans="1:40" x14ac:dyDescent="0.3">
      <c r="A37" s="14" t="str">
        <f>IF(INDEX(Workers!$B:$B,ROW())="","",INDEX(Workers!$B:$B,ROW()))</f>
        <v/>
      </c>
      <c r="B37" s="21" t="str">
        <f>IF(INDEX(Workers!$C:$C,ROW())="","",INDEX(Workers!$C:$C,ROW()))</f>
        <v/>
      </c>
      <c r="C37" s="21" t="str">
        <f>IF(INDEX(Workers!$D:$D,ROW())="","",INDEX(Workers!$D:$D,ROW()))</f>
        <v/>
      </c>
      <c r="D37" s="22" t="str">
        <f>IF(INDEX(Workers!$E:$E,ROW())="","",INDEX(Workers!$E:$E,ROW()))</f>
        <v/>
      </c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4" t="str">
        <f t="shared" si="0"/>
        <v/>
      </c>
      <c r="AK37" s="24" t="str">
        <f t="shared" si="1"/>
        <v/>
      </c>
      <c r="AL37" s="25" t="str">
        <f>IF(B37="","",AJ37*N(D37)+AK37*N(D37)/Setup!$B$6*Setup!$B$7)</f>
        <v/>
      </c>
      <c r="AM37" s="25" t="str">
        <f>IF(B37="","",SUMIFS(Payments!$D$5:$D$304,Payments!$B$5:$B$304,A37,Payments!$A$5:$A$304,"&gt;="&amp;DATE(Setup!$B$4,6,1),Payments!$A$5:$A$304,"&lt;="&amp;EOMONTH(DATE(Setup!$B$4,6,1),0)))</f>
        <v/>
      </c>
      <c r="AN37" s="25" t="str">
        <f t="shared" si="2"/>
        <v/>
      </c>
    </row>
    <row r="38" spans="1:40" x14ac:dyDescent="0.3">
      <c r="A38" s="14" t="str">
        <f>IF(INDEX(Workers!$B:$B,ROW())="","",INDEX(Workers!$B:$B,ROW()))</f>
        <v/>
      </c>
      <c r="B38" s="21" t="str">
        <f>IF(INDEX(Workers!$C:$C,ROW())="","",INDEX(Workers!$C:$C,ROW()))</f>
        <v/>
      </c>
      <c r="C38" s="21" t="str">
        <f>IF(INDEX(Workers!$D:$D,ROW())="","",INDEX(Workers!$D:$D,ROW()))</f>
        <v/>
      </c>
      <c r="D38" s="22" t="str">
        <f>IF(INDEX(Workers!$E:$E,ROW())="","",INDEX(Workers!$E:$E,ROW()))</f>
        <v/>
      </c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4" t="str">
        <f t="shared" si="0"/>
        <v/>
      </c>
      <c r="AK38" s="24" t="str">
        <f t="shared" si="1"/>
        <v/>
      </c>
      <c r="AL38" s="25" t="str">
        <f>IF(B38="","",AJ38*N(D38)+AK38*N(D38)/Setup!$B$6*Setup!$B$7)</f>
        <v/>
      </c>
      <c r="AM38" s="25" t="str">
        <f>IF(B38="","",SUMIFS(Payments!$D$5:$D$304,Payments!$B$5:$B$304,A38,Payments!$A$5:$A$304,"&gt;="&amp;DATE(Setup!$B$4,6,1),Payments!$A$5:$A$304,"&lt;="&amp;EOMONTH(DATE(Setup!$B$4,6,1),0)))</f>
        <v/>
      </c>
      <c r="AN38" s="25" t="str">
        <f t="shared" si="2"/>
        <v/>
      </c>
    </row>
    <row r="39" spans="1:40" x14ac:dyDescent="0.3">
      <c r="A39" s="14" t="str">
        <f>IF(INDEX(Workers!$B:$B,ROW())="","",INDEX(Workers!$B:$B,ROW()))</f>
        <v/>
      </c>
      <c r="B39" s="21" t="str">
        <f>IF(INDEX(Workers!$C:$C,ROW())="","",INDEX(Workers!$C:$C,ROW()))</f>
        <v/>
      </c>
      <c r="C39" s="21" t="str">
        <f>IF(INDEX(Workers!$D:$D,ROW())="","",INDEX(Workers!$D:$D,ROW()))</f>
        <v/>
      </c>
      <c r="D39" s="22" t="str">
        <f>IF(INDEX(Workers!$E:$E,ROW())="","",INDEX(Workers!$E:$E,ROW()))</f>
        <v/>
      </c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4" t="str">
        <f t="shared" si="0"/>
        <v/>
      </c>
      <c r="AK39" s="24" t="str">
        <f t="shared" si="1"/>
        <v/>
      </c>
      <c r="AL39" s="25" t="str">
        <f>IF(B39="","",AJ39*N(D39)+AK39*N(D39)/Setup!$B$6*Setup!$B$7)</f>
        <v/>
      </c>
      <c r="AM39" s="25" t="str">
        <f>IF(B39="","",SUMIFS(Payments!$D$5:$D$304,Payments!$B$5:$B$304,A39,Payments!$A$5:$A$304,"&gt;="&amp;DATE(Setup!$B$4,6,1),Payments!$A$5:$A$304,"&lt;="&amp;EOMONTH(DATE(Setup!$B$4,6,1),0)))</f>
        <v/>
      </c>
      <c r="AN39" s="25" t="str">
        <f t="shared" si="2"/>
        <v/>
      </c>
    </row>
    <row r="40" spans="1:40" x14ac:dyDescent="0.3">
      <c r="A40" s="14" t="str">
        <f>IF(INDEX(Workers!$B:$B,ROW())="","",INDEX(Workers!$B:$B,ROW()))</f>
        <v/>
      </c>
      <c r="B40" s="21" t="str">
        <f>IF(INDEX(Workers!$C:$C,ROW())="","",INDEX(Workers!$C:$C,ROW()))</f>
        <v/>
      </c>
      <c r="C40" s="21" t="str">
        <f>IF(INDEX(Workers!$D:$D,ROW())="","",INDEX(Workers!$D:$D,ROW()))</f>
        <v/>
      </c>
      <c r="D40" s="22" t="str">
        <f>IF(INDEX(Workers!$E:$E,ROW())="","",INDEX(Workers!$E:$E,ROW()))</f>
        <v/>
      </c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4" t="str">
        <f t="shared" si="0"/>
        <v/>
      </c>
      <c r="AK40" s="24" t="str">
        <f t="shared" si="1"/>
        <v/>
      </c>
      <c r="AL40" s="25" t="str">
        <f>IF(B40="","",AJ40*N(D40)+AK40*N(D40)/Setup!$B$6*Setup!$B$7)</f>
        <v/>
      </c>
      <c r="AM40" s="25" t="str">
        <f>IF(B40="","",SUMIFS(Payments!$D$5:$D$304,Payments!$B$5:$B$304,A40,Payments!$A$5:$A$304,"&gt;="&amp;DATE(Setup!$B$4,6,1),Payments!$A$5:$A$304,"&lt;="&amp;EOMONTH(DATE(Setup!$B$4,6,1),0)))</f>
        <v/>
      </c>
      <c r="AN40" s="25" t="str">
        <f t="shared" si="2"/>
        <v/>
      </c>
    </row>
    <row r="41" spans="1:40" x14ac:dyDescent="0.3">
      <c r="A41" s="14" t="str">
        <f>IF(INDEX(Workers!$B:$B,ROW())="","",INDEX(Workers!$B:$B,ROW()))</f>
        <v/>
      </c>
      <c r="B41" s="21" t="str">
        <f>IF(INDEX(Workers!$C:$C,ROW())="","",INDEX(Workers!$C:$C,ROW()))</f>
        <v/>
      </c>
      <c r="C41" s="21" t="str">
        <f>IF(INDEX(Workers!$D:$D,ROW())="","",INDEX(Workers!$D:$D,ROW()))</f>
        <v/>
      </c>
      <c r="D41" s="22" t="str">
        <f>IF(INDEX(Workers!$E:$E,ROW())="","",INDEX(Workers!$E:$E,ROW()))</f>
        <v/>
      </c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4" t="str">
        <f t="shared" si="0"/>
        <v/>
      </c>
      <c r="AK41" s="24" t="str">
        <f t="shared" si="1"/>
        <v/>
      </c>
      <c r="AL41" s="25" t="str">
        <f>IF(B41="","",AJ41*N(D41)+AK41*N(D41)/Setup!$B$6*Setup!$B$7)</f>
        <v/>
      </c>
      <c r="AM41" s="25" t="str">
        <f>IF(B41="","",SUMIFS(Payments!$D$5:$D$304,Payments!$B$5:$B$304,A41,Payments!$A$5:$A$304,"&gt;="&amp;DATE(Setup!$B$4,6,1),Payments!$A$5:$A$304,"&lt;="&amp;EOMONTH(DATE(Setup!$B$4,6,1),0)))</f>
        <v/>
      </c>
      <c r="AN41" s="25" t="str">
        <f t="shared" si="2"/>
        <v/>
      </c>
    </row>
    <row r="42" spans="1:40" x14ac:dyDescent="0.3">
      <c r="A42" s="14" t="str">
        <f>IF(INDEX(Workers!$B:$B,ROW())="","",INDEX(Workers!$B:$B,ROW()))</f>
        <v/>
      </c>
      <c r="B42" s="21" t="str">
        <f>IF(INDEX(Workers!$C:$C,ROW())="","",INDEX(Workers!$C:$C,ROW()))</f>
        <v/>
      </c>
      <c r="C42" s="21" t="str">
        <f>IF(INDEX(Workers!$D:$D,ROW())="","",INDEX(Workers!$D:$D,ROW()))</f>
        <v/>
      </c>
      <c r="D42" s="22" t="str">
        <f>IF(INDEX(Workers!$E:$E,ROW())="","",INDEX(Workers!$E:$E,ROW()))</f>
        <v/>
      </c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4" t="str">
        <f t="shared" si="0"/>
        <v/>
      </c>
      <c r="AK42" s="24" t="str">
        <f t="shared" si="1"/>
        <v/>
      </c>
      <c r="AL42" s="25" t="str">
        <f>IF(B42="","",AJ42*N(D42)+AK42*N(D42)/Setup!$B$6*Setup!$B$7)</f>
        <v/>
      </c>
      <c r="AM42" s="25" t="str">
        <f>IF(B42="","",SUMIFS(Payments!$D$5:$D$304,Payments!$B$5:$B$304,A42,Payments!$A$5:$A$304,"&gt;="&amp;DATE(Setup!$B$4,6,1),Payments!$A$5:$A$304,"&lt;="&amp;EOMONTH(DATE(Setup!$B$4,6,1),0)))</f>
        <v/>
      </c>
      <c r="AN42" s="25" t="str">
        <f t="shared" si="2"/>
        <v/>
      </c>
    </row>
    <row r="43" spans="1:40" x14ac:dyDescent="0.3">
      <c r="A43" s="14" t="str">
        <f>IF(INDEX(Workers!$B:$B,ROW())="","",INDEX(Workers!$B:$B,ROW()))</f>
        <v/>
      </c>
      <c r="B43" s="21" t="str">
        <f>IF(INDEX(Workers!$C:$C,ROW())="","",INDEX(Workers!$C:$C,ROW()))</f>
        <v/>
      </c>
      <c r="C43" s="21" t="str">
        <f>IF(INDEX(Workers!$D:$D,ROW())="","",INDEX(Workers!$D:$D,ROW()))</f>
        <v/>
      </c>
      <c r="D43" s="22" t="str">
        <f>IF(INDEX(Workers!$E:$E,ROW())="","",INDEX(Workers!$E:$E,ROW()))</f>
        <v/>
      </c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4" t="str">
        <f t="shared" si="0"/>
        <v/>
      </c>
      <c r="AK43" s="24" t="str">
        <f t="shared" si="1"/>
        <v/>
      </c>
      <c r="AL43" s="25" t="str">
        <f>IF(B43="","",AJ43*N(D43)+AK43*N(D43)/Setup!$B$6*Setup!$B$7)</f>
        <v/>
      </c>
      <c r="AM43" s="25" t="str">
        <f>IF(B43="","",SUMIFS(Payments!$D$5:$D$304,Payments!$B$5:$B$304,A43,Payments!$A$5:$A$304,"&gt;="&amp;DATE(Setup!$B$4,6,1),Payments!$A$5:$A$304,"&lt;="&amp;EOMONTH(DATE(Setup!$B$4,6,1),0)))</f>
        <v/>
      </c>
      <c r="AN43" s="25" t="str">
        <f t="shared" si="2"/>
        <v/>
      </c>
    </row>
    <row r="44" spans="1:40" x14ac:dyDescent="0.3">
      <c r="A44" s="14" t="str">
        <f>IF(INDEX(Workers!$B:$B,ROW())="","",INDEX(Workers!$B:$B,ROW()))</f>
        <v/>
      </c>
      <c r="B44" s="21" t="str">
        <f>IF(INDEX(Workers!$C:$C,ROW())="","",INDEX(Workers!$C:$C,ROW()))</f>
        <v/>
      </c>
      <c r="C44" s="21" t="str">
        <f>IF(INDEX(Workers!$D:$D,ROW())="","",INDEX(Workers!$D:$D,ROW()))</f>
        <v/>
      </c>
      <c r="D44" s="22" t="str">
        <f>IF(INDEX(Workers!$E:$E,ROW())="","",INDEX(Workers!$E:$E,ROW()))</f>
        <v/>
      </c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4" t="str">
        <f t="shared" si="0"/>
        <v/>
      </c>
      <c r="AK44" s="24" t="str">
        <f t="shared" si="1"/>
        <v/>
      </c>
      <c r="AL44" s="25" t="str">
        <f>IF(B44="","",AJ44*N(D44)+AK44*N(D44)/Setup!$B$6*Setup!$B$7)</f>
        <v/>
      </c>
      <c r="AM44" s="25" t="str">
        <f>IF(B44="","",SUMIFS(Payments!$D$5:$D$304,Payments!$B$5:$B$304,A44,Payments!$A$5:$A$304,"&gt;="&amp;DATE(Setup!$B$4,6,1),Payments!$A$5:$A$304,"&lt;="&amp;EOMONTH(DATE(Setup!$B$4,6,1),0)))</f>
        <v/>
      </c>
      <c r="AN44" s="25" t="str">
        <f t="shared" si="2"/>
        <v/>
      </c>
    </row>
    <row r="45" spans="1:40" x14ac:dyDescent="0.3">
      <c r="A45" s="26"/>
      <c r="B45" s="26" t="s">
        <v>88</v>
      </c>
      <c r="C45" s="26"/>
      <c r="D45" s="26"/>
      <c r="E45" s="27">
        <f t="shared" ref="E45:AI45" si="3">IF(E$3="","",COUNTIF(E5:E44,"P")+COUNTIF(E5:E44,"H")+COUNT(E5:E44))</f>
        <v>0</v>
      </c>
      <c r="F45" s="27">
        <f t="shared" si="3"/>
        <v>0</v>
      </c>
      <c r="G45" s="27">
        <f t="shared" si="3"/>
        <v>0</v>
      </c>
      <c r="H45" s="27">
        <f t="shared" si="3"/>
        <v>0</v>
      </c>
      <c r="I45" s="27">
        <f t="shared" si="3"/>
        <v>0</v>
      </c>
      <c r="J45" s="27">
        <f t="shared" si="3"/>
        <v>0</v>
      </c>
      <c r="K45" s="27">
        <f t="shared" si="3"/>
        <v>0</v>
      </c>
      <c r="L45" s="27">
        <f t="shared" si="3"/>
        <v>0</v>
      </c>
      <c r="M45" s="27">
        <f t="shared" si="3"/>
        <v>0</v>
      </c>
      <c r="N45" s="27">
        <f t="shared" si="3"/>
        <v>0</v>
      </c>
      <c r="O45" s="27">
        <f t="shared" si="3"/>
        <v>0</v>
      </c>
      <c r="P45" s="27">
        <f t="shared" si="3"/>
        <v>0</v>
      </c>
      <c r="Q45" s="27">
        <f t="shared" si="3"/>
        <v>0</v>
      </c>
      <c r="R45" s="27">
        <f t="shared" si="3"/>
        <v>0</v>
      </c>
      <c r="S45" s="27">
        <f t="shared" si="3"/>
        <v>0</v>
      </c>
      <c r="T45" s="27">
        <f t="shared" si="3"/>
        <v>0</v>
      </c>
      <c r="U45" s="27">
        <f t="shared" si="3"/>
        <v>0</v>
      </c>
      <c r="V45" s="27">
        <f t="shared" si="3"/>
        <v>0</v>
      </c>
      <c r="W45" s="27">
        <f t="shared" si="3"/>
        <v>0</v>
      </c>
      <c r="X45" s="27">
        <f t="shared" si="3"/>
        <v>0</v>
      </c>
      <c r="Y45" s="27">
        <f t="shared" si="3"/>
        <v>0</v>
      </c>
      <c r="Z45" s="27">
        <f t="shared" si="3"/>
        <v>0</v>
      </c>
      <c r="AA45" s="27">
        <f t="shared" si="3"/>
        <v>0</v>
      </c>
      <c r="AB45" s="27">
        <f t="shared" si="3"/>
        <v>0</v>
      </c>
      <c r="AC45" s="27">
        <f t="shared" si="3"/>
        <v>0</v>
      </c>
      <c r="AD45" s="27">
        <f t="shared" si="3"/>
        <v>0</v>
      </c>
      <c r="AE45" s="27">
        <f t="shared" si="3"/>
        <v>0</v>
      </c>
      <c r="AF45" s="27">
        <f t="shared" si="3"/>
        <v>0</v>
      </c>
      <c r="AG45" s="27">
        <f t="shared" si="3"/>
        <v>0</v>
      </c>
      <c r="AH45" s="27">
        <f t="shared" si="3"/>
        <v>0</v>
      </c>
      <c r="AI45" s="27" t="str">
        <f t="shared" si="3"/>
        <v/>
      </c>
      <c r="AJ45" s="28">
        <f>SUM(AJ5:AJ44)</f>
        <v>0</v>
      </c>
      <c r="AK45" s="28">
        <f>SUM(AK5:AK44)</f>
        <v>0</v>
      </c>
      <c r="AL45" s="29">
        <f>SUM(AL5:AL44)</f>
        <v>0</v>
      </c>
      <c r="AM45" s="29">
        <f>SUM(AM5:AM44)</f>
        <v>0</v>
      </c>
      <c r="AN45" s="29">
        <f>SUM(AN5:AN44)</f>
        <v>0</v>
      </c>
    </row>
  </sheetData>
  <conditionalFormatting sqref="E3:AI3">
    <cfRule type="expression" dxfId="48" priority="2">
      <formula>E$3="Sun"</formula>
    </cfRule>
  </conditionalFormatting>
  <conditionalFormatting sqref="E3:AI45">
    <cfRule type="expression" dxfId="47" priority="1">
      <formula>E$3=""</formula>
    </cfRule>
  </conditionalFormatting>
  <conditionalFormatting sqref="E5:AI44">
    <cfRule type="expression" dxfId="46" priority="6">
      <formula>E5="A"</formula>
    </cfRule>
    <cfRule type="expression" dxfId="45" priority="7">
      <formula>E5="H"</formula>
    </cfRule>
    <cfRule type="expression" dxfId="44" priority="8">
      <formula>ISNUMBER(E5)</formula>
    </cfRule>
  </conditionalFormatting>
  <conditionalFormatting sqref="E5:AI45">
    <cfRule type="expression" dxfId="43" priority="4">
      <formula>E$3="Sun"</formula>
    </cfRule>
  </conditionalFormatting>
  <conditionalFormatting sqref="AN5:AN44">
    <cfRule type="expression" dxfId="42" priority="9">
      <formula>AN5&lt;0</formula>
    </cfRule>
  </conditionalFormatting>
  <dataValidations count="1">
    <dataValidation type="custom" allowBlank="1" showErrorMessage="1" errorTitle="Attendance code" error="Type P, H, A, L, or the number of overtime hours (0 to 12). Shaded days do not exist in this month." sqref="E5:AI44" xr:uid="{00000000-0002-0000-0800-000000000000}">
      <formula1>AND(E$3&lt;&gt;"",OR(E5="P",E5="H",E5="A",E5="L",AND(ISNUMBER(E5),E5&gt;=0,E5&lt;=12)))</formula1>
    </dataValidation>
  </dataValidations>
  <printOptions horizontalCentered="1"/>
  <pageMargins left="0.45" right="0.45" top="0.6" bottom="0.6" header="0.3" footer="0.3"/>
  <pageSetup paperSize="9" scale="66" orientation="landscape" r:id="rId1"/>
  <headerFooter>
    <oddFooter>&amp;L&amp;8Free from NirmanDost - nirmandost.in - sign up for more free tools&amp;R&amp;8Page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N45"/>
  <sheetViews>
    <sheetView showGridLines="0" workbookViewId="0">
      <pane xSplit="4" ySplit="4" topLeftCell="E5" activePane="bottomRight" state="frozen"/>
      <selection pane="topRight"/>
      <selection pane="bottomLeft"/>
      <selection pane="bottomRight"/>
    </sheetView>
  </sheetViews>
  <sheetFormatPr defaultRowHeight="14.4" x14ac:dyDescent="0.3"/>
  <cols>
    <col min="1" max="1" width="7" customWidth="1"/>
    <col min="2" max="2" width="24" customWidth="1"/>
    <col min="3" max="3" width="11" customWidth="1"/>
    <col min="4" max="4" width="9" customWidth="1"/>
    <col min="5" max="35" width="3.5546875" customWidth="1"/>
    <col min="36" max="37" width="6.44140625" customWidth="1"/>
    <col min="38" max="38" width="12" customWidth="1"/>
    <col min="39" max="40" width="11" customWidth="1"/>
  </cols>
  <sheetData>
    <row r="1" spans="1:40" ht="17.399999999999999" x14ac:dyDescent="0.3">
      <c r="A1" s="18" t="str">
        <f>"Attendance - "&amp;TEXT(DATE(Setup!$B$4,7,1),"mmmm yyyy")&amp;"   "&amp;Setup!$B$5</f>
        <v>Attendance - July 2026   Type the site name</v>
      </c>
    </row>
    <row r="2" spans="1:40" x14ac:dyDescent="0.3">
      <c r="A2" s="19" t="s">
        <v>49</v>
      </c>
    </row>
    <row r="3" spans="1:40" x14ac:dyDescent="0.3">
      <c r="E3" s="20" t="str">
        <f>IF(1&gt;DAY(EOMONTH(DATE(Setup!$B$4,7,1),0)),"",TEXT(DATE(Setup!$B$4,7,1),"ddd"))</f>
        <v>Wed</v>
      </c>
      <c r="F3" s="20" t="str">
        <f>IF(2&gt;DAY(EOMONTH(DATE(Setup!$B$4,7,1),0)),"",TEXT(DATE(Setup!$B$4,7,2),"ddd"))</f>
        <v>Thu</v>
      </c>
      <c r="G3" s="20" t="str">
        <f>IF(3&gt;DAY(EOMONTH(DATE(Setup!$B$4,7,1),0)),"",TEXT(DATE(Setup!$B$4,7,3),"ddd"))</f>
        <v>Fri</v>
      </c>
      <c r="H3" s="20" t="str">
        <f>IF(4&gt;DAY(EOMONTH(DATE(Setup!$B$4,7,1),0)),"",TEXT(DATE(Setup!$B$4,7,4),"ddd"))</f>
        <v>Sat</v>
      </c>
      <c r="I3" s="20" t="str">
        <f>IF(5&gt;DAY(EOMONTH(DATE(Setup!$B$4,7,1),0)),"",TEXT(DATE(Setup!$B$4,7,5),"ddd"))</f>
        <v>Sun</v>
      </c>
      <c r="J3" s="20" t="str">
        <f>IF(6&gt;DAY(EOMONTH(DATE(Setup!$B$4,7,1),0)),"",TEXT(DATE(Setup!$B$4,7,6),"ddd"))</f>
        <v>Mon</v>
      </c>
      <c r="K3" s="20" t="str">
        <f>IF(7&gt;DAY(EOMONTH(DATE(Setup!$B$4,7,1),0)),"",TEXT(DATE(Setup!$B$4,7,7),"ddd"))</f>
        <v>Tue</v>
      </c>
      <c r="L3" s="20" t="str">
        <f>IF(8&gt;DAY(EOMONTH(DATE(Setup!$B$4,7,1),0)),"",TEXT(DATE(Setup!$B$4,7,8),"ddd"))</f>
        <v>Wed</v>
      </c>
      <c r="M3" s="20" t="str">
        <f>IF(9&gt;DAY(EOMONTH(DATE(Setup!$B$4,7,1),0)),"",TEXT(DATE(Setup!$B$4,7,9),"ddd"))</f>
        <v>Thu</v>
      </c>
      <c r="N3" s="20" t="str">
        <f>IF(10&gt;DAY(EOMONTH(DATE(Setup!$B$4,7,1),0)),"",TEXT(DATE(Setup!$B$4,7,10),"ddd"))</f>
        <v>Fri</v>
      </c>
      <c r="O3" s="20" t="str">
        <f>IF(11&gt;DAY(EOMONTH(DATE(Setup!$B$4,7,1),0)),"",TEXT(DATE(Setup!$B$4,7,11),"ddd"))</f>
        <v>Sat</v>
      </c>
      <c r="P3" s="20" t="str">
        <f>IF(12&gt;DAY(EOMONTH(DATE(Setup!$B$4,7,1),0)),"",TEXT(DATE(Setup!$B$4,7,12),"ddd"))</f>
        <v>Sun</v>
      </c>
      <c r="Q3" s="20" t="str">
        <f>IF(13&gt;DAY(EOMONTH(DATE(Setup!$B$4,7,1),0)),"",TEXT(DATE(Setup!$B$4,7,13),"ddd"))</f>
        <v>Mon</v>
      </c>
      <c r="R3" s="20" t="str">
        <f>IF(14&gt;DAY(EOMONTH(DATE(Setup!$B$4,7,1),0)),"",TEXT(DATE(Setup!$B$4,7,14),"ddd"))</f>
        <v>Tue</v>
      </c>
      <c r="S3" s="20" t="str">
        <f>IF(15&gt;DAY(EOMONTH(DATE(Setup!$B$4,7,1),0)),"",TEXT(DATE(Setup!$B$4,7,15),"ddd"))</f>
        <v>Wed</v>
      </c>
      <c r="T3" s="20" t="str">
        <f>IF(16&gt;DAY(EOMONTH(DATE(Setup!$B$4,7,1),0)),"",TEXT(DATE(Setup!$B$4,7,16),"ddd"))</f>
        <v>Thu</v>
      </c>
      <c r="U3" s="20" t="str">
        <f>IF(17&gt;DAY(EOMONTH(DATE(Setup!$B$4,7,1),0)),"",TEXT(DATE(Setup!$B$4,7,17),"ddd"))</f>
        <v>Fri</v>
      </c>
      <c r="V3" s="20" t="str">
        <f>IF(18&gt;DAY(EOMONTH(DATE(Setup!$B$4,7,1),0)),"",TEXT(DATE(Setup!$B$4,7,18),"ddd"))</f>
        <v>Sat</v>
      </c>
      <c r="W3" s="20" t="str">
        <f>IF(19&gt;DAY(EOMONTH(DATE(Setup!$B$4,7,1),0)),"",TEXT(DATE(Setup!$B$4,7,19),"ddd"))</f>
        <v>Sun</v>
      </c>
      <c r="X3" s="20" t="str">
        <f>IF(20&gt;DAY(EOMONTH(DATE(Setup!$B$4,7,1),0)),"",TEXT(DATE(Setup!$B$4,7,20),"ddd"))</f>
        <v>Mon</v>
      </c>
      <c r="Y3" s="20" t="str">
        <f>IF(21&gt;DAY(EOMONTH(DATE(Setup!$B$4,7,1),0)),"",TEXT(DATE(Setup!$B$4,7,21),"ddd"))</f>
        <v>Tue</v>
      </c>
      <c r="Z3" s="20" t="str">
        <f>IF(22&gt;DAY(EOMONTH(DATE(Setup!$B$4,7,1),0)),"",TEXT(DATE(Setup!$B$4,7,22),"ddd"))</f>
        <v>Wed</v>
      </c>
      <c r="AA3" s="20" t="str">
        <f>IF(23&gt;DAY(EOMONTH(DATE(Setup!$B$4,7,1),0)),"",TEXT(DATE(Setup!$B$4,7,23),"ddd"))</f>
        <v>Thu</v>
      </c>
      <c r="AB3" s="20" t="str">
        <f>IF(24&gt;DAY(EOMONTH(DATE(Setup!$B$4,7,1),0)),"",TEXT(DATE(Setup!$B$4,7,24),"ddd"))</f>
        <v>Fri</v>
      </c>
      <c r="AC3" s="20" t="str">
        <f>IF(25&gt;DAY(EOMONTH(DATE(Setup!$B$4,7,1),0)),"",TEXT(DATE(Setup!$B$4,7,25),"ddd"))</f>
        <v>Sat</v>
      </c>
      <c r="AD3" s="20" t="str">
        <f>IF(26&gt;DAY(EOMONTH(DATE(Setup!$B$4,7,1),0)),"",TEXT(DATE(Setup!$B$4,7,26),"ddd"))</f>
        <v>Sun</v>
      </c>
      <c r="AE3" s="20" t="str">
        <f>IF(27&gt;DAY(EOMONTH(DATE(Setup!$B$4,7,1),0)),"",TEXT(DATE(Setup!$B$4,7,27),"ddd"))</f>
        <v>Mon</v>
      </c>
      <c r="AF3" s="20" t="str">
        <f>IF(28&gt;DAY(EOMONTH(DATE(Setup!$B$4,7,1),0)),"",TEXT(DATE(Setup!$B$4,7,28),"ddd"))</f>
        <v>Tue</v>
      </c>
      <c r="AG3" s="20" t="str">
        <f>IF(29&gt;DAY(EOMONTH(DATE(Setup!$B$4,7,1),0)),"",TEXT(DATE(Setup!$B$4,7,29),"ddd"))</f>
        <v>Wed</v>
      </c>
      <c r="AH3" s="20" t="str">
        <f>IF(30&gt;DAY(EOMONTH(DATE(Setup!$B$4,7,1),0)),"",TEXT(DATE(Setup!$B$4,7,30),"ddd"))</f>
        <v>Thu</v>
      </c>
      <c r="AI3" s="20" t="str">
        <f>IF(31&gt;DAY(EOMONTH(DATE(Setup!$B$4,7,1),0)),"",TEXT(DATE(Setup!$B$4,7,31),"ddd"))</f>
        <v>Fri</v>
      </c>
    </row>
    <row r="4" spans="1:40" ht="28.05" customHeight="1" x14ac:dyDescent="0.3">
      <c r="A4" s="13" t="s">
        <v>50</v>
      </c>
      <c r="B4" s="13" t="s">
        <v>37</v>
      </c>
      <c r="C4" s="13" t="s">
        <v>38</v>
      </c>
      <c r="D4" s="13" t="s">
        <v>51</v>
      </c>
      <c r="E4" s="13" t="s">
        <v>52</v>
      </c>
      <c r="F4" s="13" t="s">
        <v>53</v>
      </c>
      <c r="G4" s="13" t="s">
        <v>54</v>
      </c>
      <c r="H4" s="13" t="s">
        <v>55</v>
      </c>
      <c r="I4" s="13" t="s">
        <v>56</v>
      </c>
      <c r="J4" s="13" t="s">
        <v>57</v>
      </c>
      <c r="K4" s="13" t="s">
        <v>58</v>
      </c>
      <c r="L4" s="13" t="s">
        <v>59</v>
      </c>
      <c r="M4" s="13" t="s">
        <v>60</v>
      </c>
      <c r="N4" s="13" t="s">
        <v>61</v>
      </c>
      <c r="O4" s="13" t="s">
        <v>62</v>
      </c>
      <c r="P4" s="13" t="s">
        <v>63</v>
      </c>
      <c r="Q4" s="13" t="s">
        <v>64</v>
      </c>
      <c r="R4" s="13" t="s">
        <v>65</v>
      </c>
      <c r="S4" s="13" t="s">
        <v>66</v>
      </c>
      <c r="T4" s="13" t="s">
        <v>67</v>
      </c>
      <c r="U4" s="13" t="s">
        <v>68</v>
      </c>
      <c r="V4" s="13" t="s">
        <v>69</v>
      </c>
      <c r="W4" s="13" t="s">
        <v>70</v>
      </c>
      <c r="X4" s="13" t="s">
        <v>71</v>
      </c>
      <c r="Y4" s="13" t="s">
        <v>72</v>
      </c>
      <c r="Z4" s="13" t="s">
        <v>73</v>
      </c>
      <c r="AA4" s="13" t="s">
        <v>74</v>
      </c>
      <c r="AB4" s="13" t="s">
        <v>75</v>
      </c>
      <c r="AC4" s="13" t="s">
        <v>76</v>
      </c>
      <c r="AD4" s="13" t="s">
        <v>77</v>
      </c>
      <c r="AE4" s="13" t="s">
        <v>78</v>
      </c>
      <c r="AF4" s="13" t="s">
        <v>79</v>
      </c>
      <c r="AG4" s="13" t="s">
        <v>80</v>
      </c>
      <c r="AH4" s="13" t="s">
        <v>81</v>
      </c>
      <c r="AI4" s="13" t="s">
        <v>82</v>
      </c>
      <c r="AJ4" s="13" t="s">
        <v>83</v>
      </c>
      <c r="AK4" s="13" t="s">
        <v>84</v>
      </c>
      <c r="AL4" s="13" t="s">
        <v>85</v>
      </c>
      <c r="AM4" s="13" t="s">
        <v>86</v>
      </c>
      <c r="AN4" s="13" t="s">
        <v>87</v>
      </c>
    </row>
    <row r="5" spans="1:40" x14ac:dyDescent="0.3">
      <c r="A5" s="14" t="str">
        <f>IF(INDEX(Workers!$B:$B,ROW())="","",INDEX(Workers!$B:$B,ROW()))</f>
        <v>W-01</v>
      </c>
      <c r="B5" s="21" t="str">
        <f>IF(INDEX(Workers!$C:$C,ROW())="","",INDEX(Workers!$C:$C,ROW()))</f>
        <v>Ramesh (EXAMPLE, clear me)</v>
      </c>
      <c r="C5" s="21" t="str">
        <f>IF(INDEX(Workers!$D:$D,ROW())="","",INDEX(Workers!$D:$D,ROW()))</f>
        <v>Mason</v>
      </c>
      <c r="D5" s="22">
        <f>IF(INDEX(Workers!$E:$E,ROW())="","",INDEX(Workers!$E:$E,ROW()))</f>
        <v>900</v>
      </c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4">
        <f t="shared" ref="AJ5:AJ44" si="0">IF(B5="","",SUMPRODUCT((E$3:AI$3&lt;&gt;"")*(E5:AI5="P"))+0.5*SUMPRODUCT((E$3:AI$3&lt;&gt;"")*(E5:AI5="H"))+SUMPRODUCT((E$3:AI$3&lt;&gt;"")*ISNUMBER(E5:AI5)))</f>
        <v>0</v>
      </c>
      <c r="AK5" s="24">
        <f t="shared" ref="AK5:AK44" si="1">IF(B5="","",SUMPRODUCT((E$3:AI$3&lt;&gt;"")*ISNUMBER(E5:AI5),E5:AI5))</f>
        <v>0</v>
      </c>
      <c r="AL5" s="25">
        <f>IF(B5="","",AJ5*N(D5)+AK5*N(D5)/Setup!$B$6*Setup!$B$7)</f>
        <v>0</v>
      </c>
      <c r="AM5" s="25">
        <f>IF(B5="","",SUMIFS(Payments!$D$5:$D$304,Payments!$B$5:$B$304,A5,Payments!$A$5:$A$304,"&gt;="&amp;DATE(Setup!$B$4,7,1),Payments!$A$5:$A$304,"&lt;="&amp;EOMONTH(DATE(Setup!$B$4,7,1),0)))</f>
        <v>0</v>
      </c>
      <c r="AN5" s="25">
        <f t="shared" ref="AN5:AN44" si="2">IF(B5="","",AL5-AM5)</f>
        <v>0</v>
      </c>
    </row>
    <row r="6" spans="1:40" x14ac:dyDescent="0.3">
      <c r="A6" s="14" t="str">
        <f>IF(INDEX(Workers!$B:$B,ROW())="","",INDEX(Workers!$B:$B,ROW()))</f>
        <v/>
      </c>
      <c r="B6" s="21" t="str">
        <f>IF(INDEX(Workers!$C:$C,ROW())="","",INDEX(Workers!$C:$C,ROW()))</f>
        <v/>
      </c>
      <c r="C6" s="21" t="str">
        <f>IF(INDEX(Workers!$D:$D,ROW())="","",INDEX(Workers!$D:$D,ROW()))</f>
        <v/>
      </c>
      <c r="D6" s="22" t="str">
        <f>IF(INDEX(Workers!$E:$E,ROW())="","",INDEX(Workers!$E:$E,ROW()))</f>
        <v/>
      </c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4" t="str">
        <f t="shared" si="0"/>
        <v/>
      </c>
      <c r="AK6" s="24" t="str">
        <f t="shared" si="1"/>
        <v/>
      </c>
      <c r="AL6" s="25" t="str">
        <f>IF(B6="","",AJ6*N(D6)+AK6*N(D6)/Setup!$B$6*Setup!$B$7)</f>
        <v/>
      </c>
      <c r="AM6" s="25" t="str">
        <f>IF(B6="","",SUMIFS(Payments!$D$5:$D$304,Payments!$B$5:$B$304,A6,Payments!$A$5:$A$304,"&gt;="&amp;DATE(Setup!$B$4,7,1),Payments!$A$5:$A$304,"&lt;="&amp;EOMONTH(DATE(Setup!$B$4,7,1),0)))</f>
        <v/>
      </c>
      <c r="AN6" s="25" t="str">
        <f t="shared" si="2"/>
        <v/>
      </c>
    </row>
    <row r="7" spans="1:40" x14ac:dyDescent="0.3">
      <c r="A7" s="14" t="str">
        <f>IF(INDEX(Workers!$B:$B,ROW())="","",INDEX(Workers!$B:$B,ROW()))</f>
        <v/>
      </c>
      <c r="B7" s="21" t="str">
        <f>IF(INDEX(Workers!$C:$C,ROW())="","",INDEX(Workers!$C:$C,ROW()))</f>
        <v/>
      </c>
      <c r="C7" s="21" t="str">
        <f>IF(INDEX(Workers!$D:$D,ROW())="","",INDEX(Workers!$D:$D,ROW()))</f>
        <v/>
      </c>
      <c r="D7" s="22" t="str">
        <f>IF(INDEX(Workers!$E:$E,ROW())="","",INDEX(Workers!$E:$E,ROW()))</f>
        <v/>
      </c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4" t="str">
        <f t="shared" si="0"/>
        <v/>
      </c>
      <c r="AK7" s="24" t="str">
        <f t="shared" si="1"/>
        <v/>
      </c>
      <c r="AL7" s="25" t="str">
        <f>IF(B7="","",AJ7*N(D7)+AK7*N(D7)/Setup!$B$6*Setup!$B$7)</f>
        <v/>
      </c>
      <c r="AM7" s="25" t="str">
        <f>IF(B7="","",SUMIFS(Payments!$D$5:$D$304,Payments!$B$5:$B$304,A7,Payments!$A$5:$A$304,"&gt;="&amp;DATE(Setup!$B$4,7,1),Payments!$A$5:$A$304,"&lt;="&amp;EOMONTH(DATE(Setup!$B$4,7,1),0)))</f>
        <v/>
      </c>
      <c r="AN7" s="25" t="str">
        <f t="shared" si="2"/>
        <v/>
      </c>
    </row>
    <row r="8" spans="1:40" x14ac:dyDescent="0.3">
      <c r="A8" s="14" t="str">
        <f>IF(INDEX(Workers!$B:$B,ROW())="","",INDEX(Workers!$B:$B,ROW()))</f>
        <v/>
      </c>
      <c r="B8" s="21" t="str">
        <f>IF(INDEX(Workers!$C:$C,ROW())="","",INDEX(Workers!$C:$C,ROW()))</f>
        <v/>
      </c>
      <c r="C8" s="21" t="str">
        <f>IF(INDEX(Workers!$D:$D,ROW())="","",INDEX(Workers!$D:$D,ROW()))</f>
        <v/>
      </c>
      <c r="D8" s="22" t="str">
        <f>IF(INDEX(Workers!$E:$E,ROW())="","",INDEX(Workers!$E:$E,ROW()))</f>
        <v/>
      </c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4" t="str">
        <f t="shared" si="0"/>
        <v/>
      </c>
      <c r="AK8" s="24" t="str">
        <f t="shared" si="1"/>
        <v/>
      </c>
      <c r="AL8" s="25" t="str">
        <f>IF(B8="","",AJ8*N(D8)+AK8*N(D8)/Setup!$B$6*Setup!$B$7)</f>
        <v/>
      </c>
      <c r="AM8" s="25" t="str">
        <f>IF(B8="","",SUMIFS(Payments!$D$5:$D$304,Payments!$B$5:$B$304,A8,Payments!$A$5:$A$304,"&gt;="&amp;DATE(Setup!$B$4,7,1),Payments!$A$5:$A$304,"&lt;="&amp;EOMONTH(DATE(Setup!$B$4,7,1),0)))</f>
        <v/>
      </c>
      <c r="AN8" s="25" t="str">
        <f t="shared" si="2"/>
        <v/>
      </c>
    </row>
    <row r="9" spans="1:40" x14ac:dyDescent="0.3">
      <c r="A9" s="14" t="str">
        <f>IF(INDEX(Workers!$B:$B,ROW())="","",INDEX(Workers!$B:$B,ROW()))</f>
        <v/>
      </c>
      <c r="B9" s="21" t="str">
        <f>IF(INDEX(Workers!$C:$C,ROW())="","",INDEX(Workers!$C:$C,ROW()))</f>
        <v/>
      </c>
      <c r="C9" s="21" t="str">
        <f>IF(INDEX(Workers!$D:$D,ROW())="","",INDEX(Workers!$D:$D,ROW()))</f>
        <v/>
      </c>
      <c r="D9" s="22" t="str">
        <f>IF(INDEX(Workers!$E:$E,ROW())="","",INDEX(Workers!$E:$E,ROW()))</f>
        <v/>
      </c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4" t="str">
        <f t="shared" si="0"/>
        <v/>
      </c>
      <c r="AK9" s="24" t="str">
        <f t="shared" si="1"/>
        <v/>
      </c>
      <c r="AL9" s="25" t="str">
        <f>IF(B9="","",AJ9*N(D9)+AK9*N(D9)/Setup!$B$6*Setup!$B$7)</f>
        <v/>
      </c>
      <c r="AM9" s="25" t="str">
        <f>IF(B9="","",SUMIFS(Payments!$D$5:$D$304,Payments!$B$5:$B$304,A9,Payments!$A$5:$A$304,"&gt;="&amp;DATE(Setup!$B$4,7,1),Payments!$A$5:$A$304,"&lt;="&amp;EOMONTH(DATE(Setup!$B$4,7,1),0)))</f>
        <v/>
      </c>
      <c r="AN9" s="25" t="str">
        <f t="shared" si="2"/>
        <v/>
      </c>
    </row>
    <row r="10" spans="1:40" x14ac:dyDescent="0.3">
      <c r="A10" s="14" t="str">
        <f>IF(INDEX(Workers!$B:$B,ROW())="","",INDEX(Workers!$B:$B,ROW()))</f>
        <v/>
      </c>
      <c r="B10" s="21" t="str">
        <f>IF(INDEX(Workers!$C:$C,ROW())="","",INDEX(Workers!$C:$C,ROW()))</f>
        <v/>
      </c>
      <c r="C10" s="21" t="str">
        <f>IF(INDEX(Workers!$D:$D,ROW())="","",INDEX(Workers!$D:$D,ROW()))</f>
        <v/>
      </c>
      <c r="D10" s="22" t="str">
        <f>IF(INDEX(Workers!$E:$E,ROW())="","",INDEX(Workers!$E:$E,ROW()))</f>
        <v/>
      </c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4" t="str">
        <f t="shared" si="0"/>
        <v/>
      </c>
      <c r="AK10" s="24" t="str">
        <f t="shared" si="1"/>
        <v/>
      </c>
      <c r="AL10" s="25" t="str">
        <f>IF(B10="","",AJ10*N(D10)+AK10*N(D10)/Setup!$B$6*Setup!$B$7)</f>
        <v/>
      </c>
      <c r="AM10" s="25" t="str">
        <f>IF(B10="","",SUMIFS(Payments!$D$5:$D$304,Payments!$B$5:$B$304,A10,Payments!$A$5:$A$304,"&gt;="&amp;DATE(Setup!$B$4,7,1),Payments!$A$5:$A$304,"&lt;="&amp;EOMONTH(DATE(Setup!$B$4,7,1),0)))</f>
        <v/>
      </c>
      <c r="AN10" s="25" t="str">
        <f t="shared" si="2"/>
        <v/>
      </c>
    </row>
    <row r="11" spans="1:40" x14ac:dyDescent="0.3">
      <c r="A11" s="14" t="str">
        <f>IF(INDEX(Workers!$B:$B,ROW())="","",INDEX(Workers!$B:$B,ROW()))</f>
        <v/>
      </c>
      <c r="B11" s="21" t="str">
        <f>IF(INDEX(Workers!$C:$C,ROW())="","",INDEX(Workers!$C:$C,ROW()))</f>
        <v/>
      </c>
      <c r="C11" s="21" t="str">
        <f>IF(INDEX(Workers!$D:$D,ROW())="","",INDEX(Workers!$D:$D,ROW()))</f>
        <v/>
      </c>
      <c r="D11" s="22" t="str">
        <f>IF(INDEX(Workers!$E:$E,ROW())="","",INDEX(Workers!$E:$E,ROW()))</f>
        <v/>
      </c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4" t="str">
        <f t="shared" si="0"/>
        <v/>
      </c>
      <c r="AK11" s="24" t="str">
        <f t="shared" si="1"/>
        <v/>
      </c>
      <c r="AL11" s="25" t="str">
        <f>IF(B11="","",AJ11*N(D11)+AK11*N(D11)/Setup!$B$6*Setup!$B$7)</f>
        <v/>
      </c>
      <c r="AM11" s="25" t="str">
        <f>IF(B11="","",SUMIFS(Payments!$D$5:$D$304,Payments!$B$5:$B$304,A11,Payments!$A$5:$A$304,"&gt;="&amp;DATE(Setup!$B$4,7,1),Payments!$A$5:$A$304,"&lt;="&amp;EOMONTH(DATE(Setup!$B$4,7,1),0)))</f>
        <v/>
      </c>
      <c r="AN11" s="25" t="str">
        <f t="shared" si="2"/>
        <v/>
      </c>
    </row>
    <row r="12" spans="1:40" x14ac:dyDescent="0.3">
      <c r="A12" s="14" t="str">
        <f>IF(INDEX(Workers!$B:$B,ROW())="","",INDEX(Workers!$B:$B,ROW()))</f>
        <v/>
      </c>
      <c r="B12" s="21" t="str">
        <f>IF(INDEX(Workers!$C:$C,ROW())="","",INDEX(Workers!$C:$C,ROW()))</f>
        <v/>
      </c>
      <c r="C12" s="21" t="str">
        <f>IF(INDEX(Workers!$D:$D,ROW())="","",INDEX(Workers!$D:$D,ROW()))</f>
        <v/>
      </c>
      <c r="D12" s="22" t="str">
        <f>IF(INDEX(Workers!$E:$E,ROW())="","",INDEX(Workers!$E:$E,ROW()))</f>
        <v/>
      </c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4" t="str">
        <f t="shared" si="0"/>
        <v/>
      </c>
      <c r="AK12" s="24" t="str">
        <f t="shared" si="1"/>
        <v/>
      </c>
      <c r="AL12" s="25" t="str">
        <f>IF(B12="","",AJ12*N(D12)+AK12*N(D12)/Setup!$B$6*Setup!$B$7)</f>
        <v/>
      </c>
      <c r="AM12" s="25" t="str">
        <f>IF(B12="","",SUMIFS(Payments!$D$5:$D$304,Payments!$B$5:$B$304,A12,Payments!$A$5:$A$304,"&gt;="&amp;DATE(Setup!$B$4,7,1),Payments!$A$5:$A$304,"&lt;="&amp;EOMONTH(DATE(Setup!$B$4,7,1),0)))</f>
        <v/>
      </c>
      <c r="AN12" s="25" t="str">
        <f t="shared" si="2"/>
        <v/>
      </c>
    </row>
    <row r="13" spans="1:40" x14ac:dyDescent="0.3">
      <c r="A13" s="14" t="str">
        <f>IF(INDEX(Workers!$B:$B,ROW())="","",INDEX(Workers!$B:$B,ROW()))</f>
        <v/>
      </c>
      <c r="B13" s="21" t="str">
        <f>IF(INDEX(Workers!$C:$C,ROW())="","",INDEX(Workers!$C:$C,ROW()))</f>
        <v/>
      </c>
      <c r="C13" s="21" t="str">
        <f>IF(INDEX(Workers!$D:$D,ROW())="","",INDEX(Workers!$D:$D,ROW()))</f>
        <v/>
      </c>
      <c r="D13" s="22" t="str">
        <f>IF(INDEX(Workers!$E:$E,ROW())="","",INDEX(Workers!$E:$E,ROW()))</f>
        <v/>
      </c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4" t="str">
        <f t="shared" si="0"/>
        <v/>
      </c>
      <c r="AK13" s="24" t="str">
        <f t="shared" si="1"/>
        <v/>
      </c>
      <c r="AL13" s="25" t="str">
        <f>IF(B13="","",AJ13*N(D13)+AK13*N(D13)/Setup!$B$6*Setup!$B$7)</f>
        <v/>
      </c>
      <c r="AM13" s="25" t="str">
        <f>IF(B13="","",SUMIFS(Payments!$D$5:$D$304,Payments!$B$5:$B$304,A13,Payments!$A$5:$A$304,"&gt;="&amp;DATE(Setup!$B$4,7,1),Payments!$A$5:$A$304,"&lt;="&amp;EOMONTH(DATE(Setup!$B$4,7,1),0)))</f>
        <v/>
      </c>
      <c r="AN13" s="25" t="str">
        <f t="shared" si="2"/>
        <v/>
      </c>
    </row>
    <row r="14" spans="1:40" x14ac:dyDescent="0.3">
      <c r="A14" s="14" t="str">
        <f>IF(INDEX(Workers!$B:$B,ROW())="","",INDEX(Workers!$B:$B,ROW()))</f>
        <v/>
      </c>
      <c r="B14" s="21" t="str">
        <f>IF(INDEX(Workers!$C:$C,ROW())="","",INDEX(Workers!$C:$C,ROW()))</f>
        <v/>
      </c>
      <c r="C14" s="21" t="str">
        <f>IF(INDEX(Workers!$D:$D,ROW())="","",INDEX(Workers!$D:$D,ROW()))</f>
        <v/>
      </c>
      <c r="D14" s="22" t="str">
        <f>IF(INDEX(Workers!$E:$E,ROW())="","",INDEX(Workers!$E:$E,ROW()))</f>
        <v/>
      </c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4" t="str">
        <f t="shared" si="0"/>
        <v/>
      </c>
      <c r="AK14" s="24" t="str">
        <f t="shared" si="1"/>
        <v/>
      </c>
      <c r="AL14" s="25" t="str">
        <f>IF(B14="","",AJ14*N(D14)+AK14*N(D14)/Setup!$B$6*Setup!$B$7)</f>
        <v/>
      </c>
      <c r="AM14" s="25" t="str">
        <f>IF(B14="","",SUMIFS(Payments!$D$5:$D$304,Payments!$B$5:$B$304,A14,Payments!$A$5:$A$304,"&gt;="&amp;DATE(Setup!$B$4,7,1),Payments!$A$5:$A$304,"&lt;="&amp;EOMONTH(DATE(Setup!$B$4,7,1),0)))</f>
        <v/>
      </c>
      <c r="AN14" s="25" t="str">
        <f t="shared" si="2"/>
        <v/>
      </c>
    </row>
    <row r="15" spans="1:40" x14ac:dyDescent="0.3">
      <c r="A15" s="14" t="str">
        <f>IF(INDEX(Workers!$B:$B,ROW())="","",INDEX(Workers!$B:$B,ROW()))</f>
        <v/>
      </c>
      <c r="B15" s="21" t="str">
        <f>IF(INDEX(Workers!$C:$C,ROW())="","",INDEX(Workers!$C:$C,ROW()))</f>
        <v/>
      </c>
      <c r="C15" s="21" t="str">
        <f>IF(INDEX(Workers!$D:$D,ROW())="","",INDEX(Workers!$D:$D,ROW()))</f>
        <v/>
      </c>
      <c r="D15" s="22" t="str">
        <f>IF(INDEX(Workers!$E:$E,ROW())="","",INDEX(Workers!$E:$E,ROW()))</f>
        <v/>
      </c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4" t="str">
        <f t="shared" si="0"/>
        <v/>
      </c>
      <c r="AK15" s="24" t="str">
        <f t="shared" si="1"/>
        <v/>
      </c>
      <c r="AL15" s="25" t="str">
        <f>IF(B15="","",AJ15*N(D15)+AK15*N(D15)/Setup!$B$6*Setup!$B$7)</f>
        <v/>
      </c>
      <c r="AM15" s="25" t="str">
        <f>IF(B15="","",SUMIFS(Payments!$D$5:$D$304,Payments!$B$5:$B$304,A15,Payments!$A$5:$A$304,"&gt;="&amp;DATE(Setup!$B$4,7,1),Payments!$A$5:$A$304,"&lt;="&amp;EOMONTH(DATE(Setup!$B$4,7,1),0)))</f>
        <v/>
      </c>
      <c r="AN15" s="25" t="str">
        <f t="shared" si="2"/>
        <v/>
      </c>
    </row>
    <row r="16" spans="1:40" x14ac:dyDescent="0.3">
      <c r="A16" s="14" t="str">
        <f>IF(INDEX(Workers!$B:$B,ROW())="","",INDEX(Workers!$B:$B,ROW()))</f>
        <v/>
      </c>
      <c r="B16" s="21" t="str">
        <f>IF(INDEX(Workers!$C:$C,ROW())="","",INDEX(Workers!$C:$C,ROW()))</f>
        <v/>
      </c>
      <c r="C16" s="21" t="str">
        <f>IF(INDEX(Workers!$D:$D,ROW())="","",INDEX(Workers!$D:$D,ROW()))</f>
        <v/>
      </c>
      <c r="D16" s="22" t="str">
        <f>IF(INDEX(Workers!$E:$E,ROW())="","",INDEX(Workers!$E:$E,ROW()))</f>
        <v/>
      </c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4" t="str">
        <f t="shared" si="0"/>
        <v/>
      </c>
      <c r="AK16" s="24" t="str">
        <f t="shared" si="1"/>
        <v/>
      </c>
      <c r="AL16" s="25" t="str">
        <f>IF(B16="","",AJ16*N(D16)+AK16*N(D16)/Setup!$B$6*Setup!$B$7)</f>
        <v/>
      </c>
      <c r="AM16" s="25" t="str">
        <f>IF(B16="","",SUMIFS(Payments!$D$5:$D$304,Payments!$B$5:$B$304,A16,Payments!$A$5:$A$304,"&gt;="&amp;DATE(Setup!$B$4,7,1),Payments!$A$5:$A$304,"&lt;="&amp;EOMONTH(DATE(Setup!$B$4,7,1),0)))</f>
        <v/>
      </c>
      <c r="AN16" s="25" t="str">
        <f t="shared" si="2"/>
        <v/>
      </c>
    </row>
    <row r="17" spans="1:40" x14ac:dyDescent="0.3">
      <c r="A17" s="14" t="str">
        <f>IF(INDEX(Workers!$B:$B,ROW())="","",INDEX(Workers!$B:$B,ROW()))</f>
        <v/>
      </c>
      <c r="B17" s="21" t="str">
        <f>IF(INDEX(Workers!$C:$C,ROW())="","",INDEX(Workers!$C:$C,ROW()))</f>
        <v/>
      </c>
      <c r="C17" s="21" t="str">
        <f>IF(INDEX(Workers!$D:$D,ROW())="","",INDEX(Workers!$D:$D,ROW()))</f>
        <v/>
      </c>
      <c r="D17" s="22" t="str">
        <f>IF(INDEX(Workers!$E:$E,ROW())="","",INDEX(Workers!$E:$E,ROW()))</f>
        <v/>
      </c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4" t="str">
        <f t="shared" si="0"/>
        <v/>
      </c>
      <c r="AK17" s="24" t="str">
        <f t="shared" si="1"/>
        <v/>
      </c>
      <c r="AL17" s="25" t="str">
        <f>IF(B17="","",AJ17*N(D17)+AK17*N(D17)/Setup!$B$6*Setup!$B$7)</f>
        <v/>
      </c>
      <c r="AM17" s="25" t="str">
        <f>IF(B17="","",SUMIFS(Payments!$D$5:$D$304,Payments!$B$5:$B$304,A17,Payments!$A$5:$A$304,"&gt;="&amp;DATE(Setup!$B$4,7,1),Payments!$A$5:$A$304,"&lt;="&amp;EOMONTH(DATE(Setup!$B$4,7,1),0)))</f>
        <v/>
      </c>
      <c r="AN17" s="25" t="str">
        <f t="shared" si="2"/>
        <v/>
      </c>
    </row>
    <row r="18" spans="1:40" x14ac:dyDescent="0.3">
      <c r="A18" s="14" t="str">
        <f>IF(INDEX(Workers!$B:$B,ROW())="","",INDEX(Workers!$B:$B,ROW()))</f>
        <v/>
      </c>
      <c r="B18" s="21" t="str">
        <f>IF(INDEX(Workers!$C:$C,ROW())="","",INDEX(Workers!$C:$C,ROW()))</f>
        <v/>
      </c>
      <c r="C18" s="21" t="str">
        <f>IF(INDEX(Workers!$D:$D,ROW())="","",INDEX(Workers!$D:$D,ROW()))</f>
        <v/>
      </c>
      <c r="D18" s="22" t="str">
        <f>IF(INDEX(Workers!$E:$E,ROW())="","",INDEX(Workers!$E:$E,ROW()))</f>
        <v/>
      </c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4" t="str">
        <f t="shared" si="0"/>
        <v/>
      </c>
      <c r="AK18" s="24" t="str">
        <f t="shared" si="1"/>
        <v/>
      </c>
      <c r="AL18" s="25" t="str">
        <f>IF(B18="","",AJ18*N(D18)+AK18*N(D18)/Setup!$B$6*Setup!$B$7)</f>
        <v/>
      </c>
      <c r="AM18" s="25" t="str">
        <f>IF(B18="","",SUMIFS(Payments!$D$5:$D$304,Payments!$B$5:$B$304,A18,Payments!$A$5:$A$304,"&gt;="&amp;DATE(Setup!$B$4,7,1),Payments!$A$5:$A$304,"&lt;="&amp;EOMONTH(DATE(Setup!$B$4,7,1),0)))</f>
        <v/>
      </c>
      <c r="AN18" s="25" t="str">
        <f t="shared" si="2"/>
        <v/>
      </c>
    </row>
    <row r="19" spans="1:40" x14ac:dyDescent="0.3">
      <c r="A19" s="14" t="str">
        <f>IF(INDEX(Workers!$B:$B,ROW())="","",INDEX(Workers!$B:$B,ROW()))</f>
        <v/>
      </c>
      <c r="B19" s="21" t="str">
        <f>IF(INDEX(Workers!$C:$C,ROW())="","",INDEX(Workers!$C:$C,ROW()))</f>
        <v/>
      </c>
      <c r="C19" s="21" t="str">
        <f>IF(INDEX(Workers!$D:$D,ROW())="","",INDEX(Workers!$D:$D,ROW()))</f>
        <v/>
      </c>
      <c r="D19" s="22" t="str">
        <f>IF(INDEX(Workers!$E:$E,ROW())="","",INDEX(Workers!$E:$E,ROW()))</f>
        <v/>
      </c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4" t="str">
        <f t="shared" si="0"/>
        <v/>
      </c>
      <c r="AK19" s="24" t="str">
        <f t="shared" si="1"/>
        <v/>
      </c>
      <c r="AL19" s="25" t="str">
        <f>IF(B19="","",AJ19*N(D19)+AK19*N(D19)/Setup!$B$6*Setup!$B$7)</f>
        <v/>
      </c>
      <c r="AM19" s="25" t="str">
        <f>IF(B19="","",SUMIFS(Payments!$D$5:$D$304,Payments!$B$5:$B$304,A19,Payments!$A$5:$A$304,"&gt;="&amp;DATE(Setup!$B$4,7,1),Payments!$A$5:$A$304,"&lt;="&amp;EOMONTH(DATE(Setup!$B$4,7,1),0)))</f>
        <v/>
      </c>
      <c r="AN19" s="25" t="str">
        <f t="shared" si="2"/>
        <v/>
      </c>
    </row>
    <row r="20" spans="1:40" x14ac:dyDescent="0.3">
      <c r="A20" s="14" t="str">
        <f>IF(INDEX(Workers!$B:$B,ROW())="","",INDEX(Workers!$B:$B,ROW()))</f>
        <v/>
      </c>
      <c r="B20" s="21" t="str">
        <f>IF(INDEX(Workers!$C:$C,ROW())="","",INDEX(Workers!$C:$C,ROW()))</f>
        <v/>
      </c>
      <c r="C20" s="21" t="str">
        <f>IF(INDEX(Workers!$D:$D,ROW())="","",INDEX(Workers!$D:$D,ROW()))</f>
        <v/>
      </c>
      <c r="D20" s="22" t="str">
        <f>IF(INDEX(Workers!$E:$E,ROW())="","",INDEX(Workers!$E:$E,ROW()))</f>
        <v/>
      </c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4" t="str">
        <f t="shared" si="0"/>
        <v/>
      </c>
      <c r="AK20" s="24" t="str">
        <f t="shared" si="1"/>
        <v/>
      </c>
      <c r="AL20" s="25" t="str">
        <f>IF(B20="","",AJ20*N(D20)+AK20*N(D20)/Setup!$B$6*Setup!$B$7)</f>
        <v/>
      </c>
      <c r="AM20" s="25" t="str">
        <f>IF(B20="","",SUMIFS(Payments!$D$5:$D$304,Payments!$B$5:$B$304,A20,Payments!$A$5:$A$304,"&gt;="&amp;DATE(Setup!$B$4,7,1),Payments!$A$5:$A$304,"&lt;="&amp;EOMONTH(DATE(Setup!$B$4,7,1),0)))</f>
        <v/>
      </c>
      <c r="AN20" s="25" t="str">
        <f t="shared" si="2"/>
        <v/>
      </c>
    </row>
    <row r="21" spans="1:40" x14ac:dyDescent="0.3">
      <c r="A21" s="14" t="str">
        <f>IF(INDEX(Workers!$B:$B,ROW())="","",INDEX(Workers!$B:$B,ROW()))</f>
        <v/>
      </c>
      <c r="B21" s="21" t="str">
        <f>IF(INDEX(Workers!$C:$C,ROW())="","",INDEX(Workers!$C:$C,ROW()))</f>
        <v/>
      </c>
      <c r="C21" s="21" t="str">
        <f>IF(INDEX(Workers!$D:$D,ROW())="","",INDEX(Workers!$D:$D,ROW()))</f>
        <v/>
      </c>
      <c r="D21" s="22" t="str">
        <f>IF(INDEX(Workers!$E:$E,ROW())="","",INDEX(Workers!$E:$E,ROW()))</f>
        <v/>
      </c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4" t="str">
        <f t="shared" si="0"/>
        <v/>
      </c>
      <c r="AK21" s="24" t="str">
        <f t="shared" si="1"/>
        <v/>
      </c>
      <c r="AL21" s="25" t="str">
        <f>IF(B21="","",AJ21*N(D21)+AK21*N(D21)/Setup!$B$6*Setup!$B$7)</f>
        <v/>
      </c>
      <c r="AM21" s="25" t="str">
        <f>IF(B21="","",SUMIFS(Payments!$D$5:$D$304,Payments!$B$5:$B$304,A21,Payments!$A$5:$A$304,"&gt;="&amp;DATE(Setup!$B$4,7,1),Payments!$A$5:$A$304,"&lt;="&amp;EOMONTH(DATE(Setup!$B$4,7,1),0)))</f>
        <v/>
      </c>
      <c r="AN21" s="25" t="str">
        <f t="shared" si="2"/>
        <v/>
      </c>
    </row>
    <row r="22" spans="1:40" x14ac:dyDescent="0.3">
      <c r="A22" s="14" t="str">
        <f>IF(INDEX(Workers!$B:$B,ROW())="","",INDEX(Workers!$B:$B,ROW()))</f>
        <v/>
      </c>
      <c r="B22" s="21" t="str">
        <f>IF(INDEX(Workers!$C:$C,ROW())="","",INDEX(Workers!$C:$C,ROW()))</f>
        <v/>
      </c>
      <c r="C22" s="21" t="str">
        <f>IF(INDEX(Workers!$D:$D,ROW())="","",INDEX(Workers!$D:$D,ROW()))</f>
        <v/>
      </c>
      <c r="D22" s="22" t="str">
        <f>IF(INDEX(Workers!$E:$E,ROW())="","",INDEX(Workers!$E:$E,ROW()))</f>
        <v/>
      </c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4" t="str">
        <f t="shared" si="0"/>
        <v/>
      </c>
      <c r="AK22" s="24" t="str">
        <f t="shared" si="1"/>
        <v/>
      </c>
      <c r="AL22" s="25" t="str">
        <f>IF(B22="","",AJ22*N(D22)+AK22*N(D22)/Setup!$B$6*Setup!$B$7)</f>
        <v/>
      </c>
      <c r="AM22" s="25" t="str">
        <f>IF(B22="","",SUMIFS(Payments!$D$5:$D$304,Payments!$B$5:$B$304,A22,Payments!$A$5:$A$304,"&gt;="&amp;DATE(Setup!$B$4,7,1),Payments!$A$5:$A$304,"&lt;="&amp;EOMONTH(DATE(Setup!$B$4,7,1),0)))</f>
        <v/>
      </c>
      <c r="AN22" s="25" t="str">
        <f t="shared" si="2"/>
        <v/>
      </c>
    </row>
    <row r="23" spans="1:40" x14ac:dyDescent="0.3">
      <c r="A23" s="14" t="str">
        <f>IF(INDEX(Workers!$B:$B,ROW())="","",INDEX(Workers!$B:$B,ROW()))</f>
        <v/>
      </c>
      <c r="B23" s="21" t="str">
        <f>IF(INDEX(Workers!$C:$C,ROW())="","",INDEX(Workers!$C:$C,ROW()))</f>
        <v/>
      </c>
      <c r="C23" s="21" t="str">
        <f>IF(INDEX(Workers!$D:$D,ROW())="","",INDEX(Workers!$D:$D,ROW()))</f>
        <v/>
      </c>
      <c r="D23" s="22" t="str">
        <f>IF(INDEX(Workers!$E:$E,ROW())="","",INDEX(Workers!$E:$E,ROW()))</f>
        <v/>
      </c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4" t="str">
        <f t="shared" si="0"/>
        <v/>
      </c>
      <c r="AK23" s="24" t="str">
        <f t="shared" si="1"/>
        <v/>
      </c>
      <c r="AL23" s="25" t="str">
        <f>IF(B23="","",AJ23*N(D23)+AK23*N(D23)/Setup!$B$6*Setup!$B$7)</f>
        <v/>
      </c>
      <c r="AM23" s="25" t="str">
        <f>IF(B23="","",SUMIFS(Payments!$D$5:$D$304,Payments!$B$5:$B$304,A23,Payments!$A$5:$A$304,"&gt;="&amp;DATE(Setup!$B$4,7,1),Payments!$A$5:$A$304,"&lt;="&amp;EOMONTH(DATE(Setup!$B$4,7,1),0)))</f>
        <v/>
      </c>
      <c r="AN23" s="25" t="str">
        <f t="shared" si="2"/>
        <v/>
      </c>
    </row>
    <row r="24" spans="1:40" x14ac:dyDescent="0.3">
      <c r="A24" s="14" t="str">
        <f>IF(INDEX(Workers!$B:$B,ROW())="","",INDEX(Workers!$B:$B,ROW()))</f>
        <v/>
      </c>
      <c r="B24" s="21" t="str">
        <f>IF(INDEX(Workers!$C:$C,ROW())="","",INDEX(Workers!$C:$C,ROW()))</f>
        <v/>
      </c>
      <c r="C24" s="21" t="str">
        <f>IF(INDEX(Workers!$D:$D,ROW())="","",INDEX(Workers!$D:$D,ROW()))</f>
        <v/>
      </c>
      <c r="D24" s="22" t="str">
        <f>IF(INDEX(Workers!$E:$E,ROW())="","",INDEX(Workers!$E:$E,ROW()))</f>
        <v/>
      </c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4" t="str">
        <f t="shared" si="0"/>
        <v/>
      </c>
      <c r="AK24" s="24" t="str">
        <f t="shared" si="1"/>
        <v/>
      </c>
      <c r="AL24" s="25" t="str">
        <f>IF(B24="","",AJ24*N(D24)+AK24*N(D24)/Setup!$B$6*Setup!$B$7)</f>
        <v/>
      </c>
      <c r="AM24" s="25" t="str">
        <f>IF(B24="","",SUMIFS(Payments!$D$5:$D$304,Payments!$B$5:$B$304,A24,Payments!$A$5:$A$304,"&gt;="&amp;DATE(Setup!$B$4,7,1),Payments!$A$5:$A$304,"&lt;="&amp;EOMONTH(DATE(Setup!$B$4,7,1),0)))</f>
        <v/>
      </c>
      <c r="AN24" s="25" t="str">
        <f t="shared" si="2"/>
        <v/>
      </c>
    </row>
    <row r="25" spans="1:40" x14ac:dyDescent="0.3">
      <c r="A25" s="14" t="str">
        <f>IF(INDEX(Workers!$B:$B,ROW())="","",INDEX(Workers!$B:$B,ROW()))</f>
        <v/>
      </c>
      <c r="B25" s="21" t="str">
        <f>IF(INDEX(Workers!$C:$C,ROW())="","",INDEX(Workers!$C:$C,ROW()))</f>
        <v/>
      </c>
      <c r="C25" s="21" t="str">
        <f>IF(INDEX(Workers!$D:$D,ROW())="","",INDEX(Workers!$D:$D,ROW()))</f>
        <v/>
      </c>
      <c r="D25" s="22" t="str">
        <f>IF(INDEX(Workers!$E:$E,ROW())="","",INDEX(Workers!$E:$E,ROW()))</f>
        <v/>
      </c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4" t="str">
        <f t="shared" si="0"/>
        <v/>
      </c>
      <c r="AK25" s="24" t="str">
        <f t="shared" si="1"/>
        <v/>
      </c>
      <c r="AL25" s="25" t="str">
        <f>IF(B25="","",AJ25*N(D25)+AK25*N(D25)/Setup!$B$6*Setup!$B$7)</f>
        <v/>
      </c>
      <c r="AM25" s="25" t="str">
        <f>IF(B25="","",SUMIFS(Payments!$D$5:$D$304,Payments!$B$5:$B$304,A25,Payments!$A$5:$A$304,"&gt;="&amp;DATE(Setup!$B$4,7,1),Payments!$A$5:$A$304,"&lt;="&amp;EOMONTH(DATE(Setup!$B$4,7,1),0)))</f>
        <v/>
      </c>
      <c r="AN25" s="25" t="str">
        <f t="shared" si="2"/>
        <v/>
      </c>
    </row>
    <row r="26" spans="1:40" x14ac:dyDescent="0.3">
      <c r="A26" s="14" t="str">
        <f>IF(INDEX(Workers!$B:$B,ROW())="","",INDEX(Workers!$B:$B,ROW()))</f>
        <v/>
      </c>
      <c r="B26" s="21" t="str">
        <f>IF(INDEX(Workers!$C:$C,ROW())="","",INDEX(Workers!$C:$C,ROW()))</f>
        <v/>
      </c>
      <c r="C26" s="21" t="str">
        <f>IF(INDEX(Workers!$D:$D,ROW())="","",INDEX(Workers!$D:$D,ROW()))</f>
        <v/>
      </c>
      <c r="D26" s="22" t="str">
        <f>IF(INDEX(Workers!$E:$E,ROW())="","",INDEX(Workers!$E:$E,ROW()))</f>
        <v/>
      </c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4" t="str">
        <f t="shared" si="0"/>
        <v/>
      </c>
      <c r="AK26" s="24" t="str">
        <f t="shared" si="1"/>
        <v/>
      </c>
      <c r="AL26" s="25" t="str">
        <f>IF(B26="","",AJ26*N(D26)+AK26*N(D26)/Setup!$B$6*Setup!$B$7)</f>
        <v/>
      </c>
      <c r="AM26" s="25" t="str">
        <f>IF(B26="","",SUMIFS(Payments!$D$5:$D$304,Payments!$B$5:$B$304,A26,Payments!$A$5:$A$304,"&gt;="&amp;DATE(Setup!$B$4,7,1),Payments!$A$5:$A$304,"&lt;="&amp;EOMONTH(DATE(Setup!$B$4,7,1),0)))</f>
        <v/>
      </c>
      <c r="AN26" s="25" t="str">
        <f t="shared" si="2"/>
        <v/>
      </c>
    </row>
    <row r="27" spans="1:40" x14ac:dyDescent="0.3">
      <c r="A27" s="14" t="str">
        <f>IF(INDEX(Workers!$B:$B,ROW())="","",INDEX(Workers!$B:$B,ROW()))</f>
        <v/>
      </c>
      <c r="B27" s="21" t="str">
        <f>IF(INDEX(Workers!$C:$C,ROW())="","",INDEX(Workers!$C:$C,ROW()))</f>
        <v/>
      </c>
      <c r="C27" s="21" t="str">
        <f>IF(INDEX(Workers!$D:$D,ROW())="","",INDEX(Workers!$D:$D,ROW()))</f>
        <v/>
      </c>
      <c r="D27" s="22" t="str">
        <f>IF(INDEX(Workers!$E:$E,ROW())="","",INDEX(Workers!$E:$E,ROW()))</f>
        <v/>
      </c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4" t="str">
        <f t="shared" si="0"/>
        <v/>
      </c>
      <c r="AK27" s="24" t="str">
        <f t="shared" si="1"/>
        <v/>
      </c>
      <c r="AL27" s="25" t="str">
        <f>IF(B27="","",AJ27*N(D27)+AK27*N(D27)/Setup!$B$6*Setup!$B$7)</f>
        <v/>
      </c>
      <c r="AM27" s="25" t="str">
        <f>IF(B27="","",SUMIFS(Payments!$D$5:$D$304,Payments!$B$5:$B$304,A27,Payments!$A$5:$A$304,"&gt;="&amp;DATE(Setup!$B$4,7,1),Payments!$A$5:$A$304,"&lt;="&amp;EOMONTH(DATE(Setup!$B$4,7,1),0)))</f>
        <v/>
      </c>
      <c r="AN27" s="25" t="str">
        <f t="shared" si="2"/>
        <v/>
      </c>
    </row>
    <row r="28" spans="1:40" x14ac:dyDescent="0.3">
      <c r="A28" s="14" t="str">
        <f>IF(INDEX(Workers!$B:$B,ROW())="","",INDEX(Workers!$B:$B,ROW()))</f>
        <v/>
      </c>
      <c r="B28" s="21" t="str">
        <f>IF(INDEX(Workers!$C:$C,ROW())="","",INDEX(Workers!$C:$C,ROW()))</f>
        <v/>
      </c>
      <c r="C28" s="21" t="str">
        <f>IF(INDEX(Workers!$D:$D,ROW())="","",INDEX(Workers!$D:$D,ROW()))</f>
        <v/>
      </c>
      <c r="D28" s="22" t="str">
        <f>IF(INDEX(Workers!$E:$E,ROW())="","",INDEX(Workers!$E:$E,ROW()))</f>
        <v/>
      </c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4" t="str">
        <f t="shared" si="0"/>
        <v/>
      </c>
      <c r="AK28" s="24" t="str">
        <f t="shared" si="1"/>
        <v/>
      </c>
      <c r="AL28" s="25" t="str">
        <f>IF(B28="","",AJ28*N(D28)+AK28*N(D28)/Setup!$B$6*Setup!$B$7)</f>
        <v/>
      </c>
      <c r="AM28" s="25" t="str">
        <f>IF(B28="","",SUMIFS(Payments!$D$5:$D$304,Payments!$B$5:$B$304,A28,Payments!$A$5:$A$304,"&gt;="&amp;DATE(Setup!$B$4,7,1),Payments!$A$5:$A$304,"&lt;="&amp;EOMONTH(DATE(Setup!$B$4,7,1),0)))</f>
        <v/>
      </c>
      <c r="AN28" s="25" t="str">
        <f t="shared" si="2"/>
        <v/>
      </c>
    </row>
    <row r="29" spans="1:40" x14ac:dyDescent="0.3">
      <c r="A29" s="14" t="str">
        <f>IF(INDEX(Workers!$B:$B,ROW())="","",INDEX(Workers!$B:$B,ROW()))</f>
        <v/>
      </c>
      <c r="B29" s="21" t="str">
        <f>IF(INDEX(Workers!$C:$C,ROW())="","",INDEX(Workers!$C:$C,ROW()))</f>
        <v/>
      </c>
      <c r="C29" s="21" t="str">
        <f>IF(INDEX(Workers!$D:$D,ROW())="","",INDEX(Workers!$D:$D,ROW()))</f>
        <v/>
      </c>
      <c r="D29" s="22" t="str">
        <f>IF(INDEX(Workers!$E:$E,ROW())="","",INDEX(Workers!$E:$E,ROW()))</f>
        <v/>
      </c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4" t="str">
        <f t="shared" si="0"/>
        <v/>
      </c>
      <c r="AK29" s="24" t="str">
        <f t="shared" si="1"/>
        <v/>
      </c>
      <c r="AL29" s="25" t="str">
        <f>IF(B29="","",AJ29*N(D29)+AK29*N(D29)/Setup!$B$6*Setup!$B$7)</f>
        <v/>
      </c>
      <c r="AM29" s="25" t="str">
        <f>IF(B29="","",SUMIFS(Payments!$D$5:$D$304,Payments!$B$5:$B$304,A29,Payments!$A$5:$A$304,"&gt;="&amp;DATE(Setup!$B$4,7,1),Payments!$A$5:$A$304,"&lt;="&amp;EOMONTH(DATE(Setup!$B$4,7,1),0)))</f>
        <v/>
      </c>
      <c r="AN29" s="25" t="str">
        <f t="shared" si="2"/>
        <v/>
      </c>
    </row>
    <row r="30" spans="1:40" x14ac:dyDescent="0.3">
      <c r="A30" s="14" t="str">
        <f>IF(INDEX(Workers!$B:$B,ROW())="","",INDEX(Workers!$B:$B,ROW()))</f>
        <v/>
      </c>
      <c r="B30" s="21" t="str">
        <f>IF(INDEX(Workers!$C:$C,ROW())="","",INDEX(Workers!$C:$C,ROW()))</f>
        <v/>
      </c>
      <c r="C30" s="21" t="str">
        <f>IF(INDEX(Workers!$D:$D,ROW())="","",INDEX(Workers!$D:$D,ROW()))</f>
        <v/>
      </c>
      <c r="D30" s="22" t="str">
        <f>IF(INDEX(Workers!$E:$E,ROW())="","",INDEX(Workers!$E:$E,ROW()))</f>
        <v/>
      </c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4" t="str">
        <f t="shared" si="0"/>
        <v/>
      </c>
      <c r="AK30" s="24" t="str">
        <f t="shared" si="1"/>
        <v/>
      </c>
      <c r="AL30" s="25" t="str">
        <f>IF(B30="","",AJ30*N(D30)+AK30*N(D30)/Setup!$B$6*Setup!$B$7)</f>
        <v/>
      </c>
      <c r="AM30" s="25" t="str">
        <f>IF(B30="","",SUMIFS(Payments!$D$5:$D$304,Payments!$B$5:$B$304,A30,Payments!$A$5:$A$304,"&gt;="&amp;DATE(Setup!$B$4,7,1),Payments!$A$5:$A$304,"&lt;="&amp;EOMONTH(DATE(Setup!$B$4,7,1),0)))</f>
        <v/>
      </c>
      <c r="AN30" s="25" t="str">
        <f t="shared" si="2"/>
        <v/>
      </c>
    </row>
    <row r="31" spans="1:40" x14ac:dyDescent="0.3">
      <c r="A31" s="14" t="str">
        <f>IF(INDEX(Workers!$B:$B,ROW())="","",INDEX(Workers!$B:$B,ROW()))</f>
        <v/>
      </c>
      <c r="B31" s="21" t="str">
        <f>IF(INDEX(Workers!$C:$C,ROW())="","",INDEX(Workers!$C:$C,ROW()))</f>
        <v/>
      </c>
      <c r="C31" s="21" t="str">
        <f>IF(INDEX(Workers!$D:$D,ROW())="","",INDEX(Workers!$D:$D,ROW()))</f>
        <v/>
      </c>
      <c r="D31" s="22" t="str">
        <f>IF(INDEX(Workers!$E:$E,ROW())="","",INDEX(Workers!$E:$E,ROW()))</f>
        <v/>
      </c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4" t="str">
        <f t="shared" si="0"/>
        <v/>
      </c>
      <c r="AK31" s="24" t="str">
        <f t="shared" si="1"/>
        <v/>
      </c>
      <c r="AL31" s="25" t="str">
        <f>IF(B31="","",AJ31*N(D31)+AK31*N(D31)/Setup!$B$6*Setup!$B$7)</f>
        <v/>
      </c>
      <c r="AM31" s="25" t="str">
        <f>IF(B31="","",SUMIFS(Payments!$D$5:$D$304,Payments!$B$5:$B$304,A31,Payments!$A$5:$A$304,"&gt;="&amp;DATE(Setup!$B$4,7,1),Payments!$A$5:$A$304,"&lt;="&amp;EOMONTH(DATE(Setup!$B$4,7,1),0)))</f>
        <v/>
      </c>
      <c r="AN31" s="25" t="str">
        <f t="shared" si="2"/>
        <v/>
      </c>
    </row>
    <row r="32" spans="1:40" x14ac:dyDescent="0.3">
      <c r="A32" s="14" t="str">
        <f>IF(INDEX(Workers!$B:$B,ROW())="","",INDEX(Workers!$B:$B,ROW()))</f>
        <v/>
      </c>
      <c r="B32" s="21" t="str">
        <f>IF(INDEX(Workers!$C:$C,ROW())="","",INDEX(Workers!$C:$C,ROW()))</f>
        <v/>
      </c>
      <c r="C32" s="21" t="str">
        <f>IF(INDEX(Workers!$D:$D,ROW())="","",INDEX(Workers!$D:$D,ROW()))</f>
        <v/>
      </c>
      <c r="D32" s="22" t="str">
        <f>IF(INDEX(Workers!$E:$E,ROW())="","",INDEX(Workers!$E:$E,ROW()))</f>
        <v/>
      </c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4" t="str">
        <f t="shared" si="0"/>
        <v/>
      </c>
      <c r="AK32" s="24" t="str">
        <f t="shared" si="1"/>
        <v/>
      </c>
      <c r="AL32" s="25" t="str">
        <f>IF(B32="","",AJ32*N(D32)+AK32*N(D32)/Setup!$B$6*Setup!$B$7)</f>
        <v/>
      </c>
      <c r="AM32" s="25" t="str">
        <f>IF(B32="","",SUMIFS(Payments!$D$5:$D$304,Payments!$B$5:$B$304,A32,Payments!$A$5:$A$304,"&gt;="&amp;DATE(Setup!$B$4,7,1),Payments!$A$5:$A$304,"&lt;="&amp;EOMONTH(DATE(Setup!$B$4,7,1),0)))</f>
        <v/>
      </c>
      <c r="AN32" s="25" t="str">
        <f t="shared" si="2"/>
        <v/>
      </c>
    </row>
    <row r="33" spans="1:40" x14ac:dyDescent="0.3">
      <c r="A33" s="14" t="str">
        <f>IF(INDEX(Workers!$B:$B,ROW())="","",INDEX(Workers!$B:$B,ROW()))</f>
        <v/>
      </c>
      <c r="B33" s="21" t="str">
        <f>IF(INDEX(Workers!$C:$C,ROW())="","",INDEX(Workers!$C:$C,ROW()))</f>
        <v/>
      </c>
      <c r="C33" s="21" t="str">
        <f>IF(INDEX(Workers!$D:$D,ROW())="","",INDEX(Workers!$D:$D,ROW()))</f>
        <v/>
      </c>
      <c r="D33" s="22" t="str">
        <f>IF(INDEX(Workers!$E:$E,ROW())="","",INDEX(Workers!$E:$E,ROW()))</f>
        <v/>
      </c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4" t="str">
        <f t="shared" si="0"/>
        <v/>
      </c>
      <c r="AK33" s="24" t="str">
        <f t="shared" si="1"/>
        <v/>
      </c>
      <c r="AL33" s="25" t="str">
        <f>IF(B33="","",AJ33*N(D33)+AK33*N(D33)/Setup!$B$6*Setup!$B$7)</f>
        <v/>
      </c>
      <c r="AM33" s="25" t="str">
        <f>IF(B33="","",SUMIFS(Payments!$D$5:$D$304,Payments!$B$5:$B$304,A33,Payments!$A$5:$A$304,"&gt;="&amp;DATE(Setup!$B$4,7,1),Payments!$A$5:$A$304,"&lt;="&amp;EOMONTH(DATE(Setup!$B$4,7,1),0)))</f>
        <v/>
      </c>
      <c r="AN33" s="25" t="str">
        <f t="shared" si="2"/>
        <v/>
      </c>
    </row>
    <row r="34" spans="1:40" x14ac:dyDescent="0.3">
      <c r="A34" s="14" t="str">
        <f>IF(INDEX(Workers!$B:$B,ROW())="","",INDEX(Workers!$B:$B,ROW()))</f>
        <v/>
      </c>
      <c r="B34" s="21" t="str">
        <f>IF(INDEX(Workers!$C:$C,ROW())="","",INDEX(Workers!$C:$C,ROW()))</f>
        <v/>
      </c>
      <c r="C34" s="21" t="str">
        <f>IF(INDEX(Workers!$D:$D,ROW())="","",INDEX(Workers!$D:$D,ROW()))</f>
        <v/>
      </c>
      <c r="D34" s="22" t="str">
        <f>IF(INDEX(Workers!$E:$E,ROW())="","",INDEX(Workers!$E:$E,ROW()))</f>
        <v/>
      </c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4" t="str">
        <f t="shared" si="0"/>
        <v/>
      </c>
      <c r="AK34" s="24" t="str">
        <f t="shared" si="1"/>
        <v/>
      </c>
      <c r="AL34" s="25" t="str">
        <f>IF(B34="","",AJ34*N(D34)+AK34*N(D34)/Setup!$B$6*Setup!$B$7)</f>
        <v/>
      </c>
      <c r="AM34" s="25" t="str">
        <f>IF(B34="","",SUMIFS(Payments!$D$5:$D$304,Payments!$B$5:$B$304,A34,Payments!$A$5:$A$304,"&gt;="&amp;DATE(Setup!$B$4,7,1),Payments!$A$5:$A$304,"&lt;="&amp;EOMONTH(DATE(Setup!$B$4,7,1),0)))</f>
        <v/>
      </c>
      <c r="AN34" s="25" t="str">
        <f t="shared" si="2"/>
        <v/>
      </c>
    </row>
    <row r="35" spans="1:40" x14ac:dyDescent="0.3">
      <c r="A35" s="14" t="str">
        <f>IF(INDEX(Workers!$B:$B,ROW())="","",INDEX(Workers!$B:$B,ROW()))</f>
        <v/>
      </c>
      <c r="B35" s="21" t="str">
        <f>IF(INDEX(Workers!$C:$C,ROW())="","",INDEX(Workers!$C:$C,ROW()))</f>
        <v/>
      </c>
      <c r="C35" s="21" t="str">
        <f>IF(INDEX(Workers!$D:$D,ROW())="","",INDEX(Workers!$D:$D,ROW()))</f>
        <v/>
      </c>
      <c r="D35" s="22" t="str">
        <f>IF(INDEX(Workers!$E:$E,ROW())="","",INDEX(Workers!$E:$E,ROW()))</f>
        <v/>
      </c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4" t="str">
        <f t="shared" si="0"/>
        <v/>
      </c>
      <c r="AK35" s="24" t="str">
        <f t="shared" si="1"/>
        <v/>
      </c>
      <c r="AL35" s="25" t="str">
        <f>IF(B35="","",AJ35*N(D35)+AK35*N(D35)/Setup!$B$6*Setup!$B$7)</f>
        <v/>
      </c>
      <c r="AM35" s="25" t="str">
        <f>IF(B35="","",SUMIFS(Payments!$D$5:$D$304,Payments!$B$5:$B$304,A35,Payments!$A$5:$A$304,"&gt;="&amp;DATE(Setup!$B$4,7,1),Payments!$A$5:$A$304,"&lt;="&amp;EOMONTH(DATE(Setup!$B$4,7,1),0)))</f>
        <v/>
      </c>
      <c r="AN35" s="25" t="str">
        <f t="shared" si="2"/>
        <v/>
      </c>
    </row>
    <row r="36" spans="1:40" x14ac:dyDescent="0.3">
      <c r="A36" s="14" t="str">
        <f>IF(INDEX(Workers!$B:$B,ROW())="","",INDEX(Workers!$B:$B,ROW()))</f>
        <v/>
      </c>
      <c r="B36" s="21" t="str">
        <f>IF(INDEX(Workers!$C:$C,ROW())="","",INDEX(Workers!$C:$C,ROW()))</f>
        <v/>
      </c>
      <c r="C36" s="21" t="str">
        <f>IF(INDEX(Workers!$D:$D,ROW())="","",INDEX(Workers!$D:$D,ROW()))</f>
        <v/>
      </c>
      <c r="D36" s="22" t="str">
        <f>IF(INDEX(Workers!$E:$E,ROW())="","",INDEX(Workers!$E:$E,ROW()))</f>
        <v/>
      </c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4" t="str">
        <f t="shared" si="0"/>
        <v/>
      </c>
      <c r="AK36" s="24" t="str">
        <f t="shared" si="1"/>
        <v/>
      </c>
      <c r="AL36" s="25" t="str">
        <f>IF(B36="","",AJ36*N(D36)+AK36*N(D36)/Setup!$B$6*Setup!$B$7)</f>
        <v/>
      </c>
      <c r="AM36" s="25" t="str">
        <f>IF(B36="","",SUMIFS(Payments!$D$5:$D$304,Payments!$B$5:$B$304,A36,Payments!$A$5:$A$304,"&gt;="&amp;DATE(Setup!$B$4,7,1),Payments!$A$5:$A$304,"&lt;="&amp;EOMONTH(DATE(Setup!$B$4,7,1),0)))</f>
        <v/>
      </c>
      <c r="AN36" s="25" t="str">
        <f t="shared" si="2"/>
        <v/>
      </c>
    </row>
    <row r="37" spans="1:40" x14ac:dyDescent="0.3">
      <c r="A37" s="14" t="str">
        <f>IF(INDEX(Workers!$B:$B,ROW())="","",INDEX(Workers!$B:$B,ROW()))</f>
        <v/>
      </c>
      <c r="B37" s="21" t="str">
        <f>IF(INDEX(Workers!$C:$C,ROW())="","",INDEX(Workers!$C:$C,ROW()))</f>
        <v/>
      </c>
      <c r="C37" s="21" t="str">
        <f>IF(INDEX(Workers!$D:$D,ROW())="","",INDEX(Workers!$D:$D,ROW()))</f>
        <v/>
      </c>
      <c r="D37" s="22" t="str">
        <f>IF(INDEX(Workers!$E:$E,ROW())="","",INDEX(Workers!$E:$E,ROW()))</f>
        <v/>
      </c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4" t="str">
        <f t="shared" si="0"/>
        <v/>
      </c>
      <c r="AK37" s="24" t="str">
        <f t="shared" si="1"/>
        <v/>
      </c>
      <c r="AL37" s="25" t="str">
        <f>IF(B37="","",AJ37*N(D37)+AK37*N(D37)/Setup!$B$6*Setup!$B$7)</f>
        <v/>
      </c>
      <c r="AM37" s="25" t="str">
        <f>IF(B37="","",SUMIFS(Payments!$D$5:$D$304,Payments!$B$5:$B$304,A37,Payments!$A$5:$A$304,"&gt;="&amp;DATE(Setup!$B$4,7,1),Payments!$A$5:$A$304,"&lt;="&amp;EOMONTH(DATE(Setup!$B$4,7,1),0)))</f>
        <v/>
      </c>
      <c r="AN37" s="25" t="str">
        <f t="shared" si="2"/>
        <v/>
      </c>
    </row>
    <row r="38" spans="1:40" x14ac:dyDescent="0.3">
      <c r="A38" s="14" t="str">
        <f>IF(INDEX(Workers!$B:$B,ROW())="","",INDEX(Workers!$B:$B,ROW()))</f>
        <v/>
      </c>
      <c r="B38" s="21" t="str">
        <f>IF(INDEX(Workers!$C:$C,ROW())="","",INDEX(Workers!$C:$C,ROW()))</f>
        <v/>
      </c>
      <c r="C38" s="21" t="str">
        <f>IF(INDEX(Workers!$D:$D,ROW())="","",INDEX(Workers!$D:$D,ROW()))</f>
        <v/>
      </c>
      <c r="D38" s="22" t="str">
        <f>IF(INDEX(Workers!$E:$E,ROW())="","",INDEX(Workers!$E:$E,ROW()))</f>
        <v/>
      </c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4" t="str">
        <f t="shared" si="0"/>
        <v/>
      </c>
      <c r="AK38" s="24" t="str">
        <f t="shared" si="1"/>
        <v/>
      </c>
      <c r="AL38" s="25" t="str">
        <f>IF(B38="","",AJ38*N(D38)+AK38*N(D38)/Setup!$B$6*Setup!$B$7)</f>
        <v/>
      </c>
      <c r="AM38" s="25" t="str">
        <f>IF(B38="","",SUMIFS(Payments!$D$5:$D$304,Payments!$B$5:$B$304,A38,Payments!$A$5:$A$304,"&gt;="&amp;DATE(Setup!$B$4,7,1),Payments!$A$5:$A$304,"&lt;="&amp;EOMONTH(DATE(Setup!$B$4,7,1),0)))</f>
        <v/>
      </c>
      <c r="AN38" s="25" t="str">
        <f t="shared" si="2"/>
        <v/>
      </c>
    </row>
    <row r="39" spans="1:40" x14ac:dyDescent="0.3">
      <c r="A39" s="14" t="str">
        <f>IF(INDEX(Workers!$B:$B,ROW())="","",INDEX(Workers!$B:$B,ROW()))</f>
        <v/>
      </c>
      <c r="B39" s="21" t="str">
        <f>IF(INDEX(Workers!$C:$C,ROW())="","",INDEX(Workers!$C:$C,ROW()))</f>
        <v/>
      </c>
      <c r="C39" s="21" t="str">
        <f>IF(INDEX(Workers!$D:$D,ROW())="","",INDEX(Workers!$D:$D,ROW()))</f>
        <v/>
      </c>
      <c r="D39" s="22" t="str">
        <f>IF(INDEX(Workers!$E:$E,ROW())="","",INDEX(Workers!$E:$E,ROW()))</f>
        <v/>
      </c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4" t="str">
        <f t="shared" si="0"/>
        <v/>
      </c>
      <c r="AK39" s="24" t="str">
        <f t="shared" si="1"/>
        <v/>
      </c>
      <c r="AL39" s="25" t="str">
        <f>IF(B39="","",AJ39*N(D39)+AK39*N(D39)/Setup!$B$6*Setup!$B$7)</f>
        <v/>
      </c>
      <c r="AM39" s="25" t="str">
        <f>IF(B39="","",SUMIFS(Payments!$D$5:$D$304,Payments!$B$5:$B$304,A39,Payments!$A$5:$A$304,"&gt;="&amp;DATE(Setup!$B$4,7,1),Payments!$A$5:$A$304,"&lt;="&amp;EOMONTH(DATE(Setup!$B$4,7,1),0)))</f>
        <v/>
      </c>
      <c r="AN39" s="25" t="str">
        <f t="shared" si="2"/>
        <v/>
      </c>
    </row>
    <row r="40" spans="1:40" x14ac:dyDescent="0.3">
      <c r="A40" s="14" t="str">
        <f>IF(INDEX(Workers!$B:$B,ROW())="","",INDEX(Workers!$B:$B,ROW()))</f>
        <v/>
      </c>
      <c r="B40" s="21" t="str">
        <f>IF(INDEX(Workers!$C:$C,ROW())="","",INDEX(Workers!$C:$C,ROW()))</f>
        <v/>
      </c>
      <c r="C40" s="21" t="str">
        <f>IF(INDEX(Workers!$D:$D,ROW())="","",INDEX(Workers!$D:$D,ROW()))</f>
        <v/>
      </c>
      <c r="D40" s="22" t="str">
        <f>IF(INDEX(Workers!$E:$E,ROW())="","",INDEX(Workers!$E:$E,ROW()))</f>
        <v/>
      </c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4" t="str">
        <f t="shared" si="0"/>
        <v/>
      </c>
      <c r="AK40" s="24" t="str">
        <f t="shared" si="1"/>
        <v/>
      </c>
      <c r="AL40" s="25" t="str">
        <f>IF(B40="","",AJ40*N(D40)+AK40*N(D40)/Setup!$B$6*Setup!$B$7)</f>
        <v/>
      </c>
      <c r="AM40" s="25" t="str">
        <f>IF(B40="","",SUMIFS(Payments!$D$5:$D$304,Payments!$B$5:$B$304,A40,Payments!$A$5:$A$304,"&gt;="&amp;DATE(Setup!$B$4,7,1),Payments!$A$5:$A$304,"&lt;="&amp;EOMONTH(DATE(Setup!$B$4,7,1),0)))</f>
        <v/>
      </c>
      <c r="AN40" s="25" t="str">
        <f t="shared" si="2"/>
        <v/>
      </c>
    </row>
    <row r="41" spans="1:40" x14ac:dyDescent="0.3">
      <c r="A41" s="14" t="str">
        <f>IF(INDEX(Workers!$B:$B,ROW())="","",INDEX(Workers!$B:$B,ROW()))</f>
        <v/>
      </c>
      <c r="B41" s="21" t="str">
        <f>IF(INDEX(Workers!$C:$C,ROW())="","",INDEX(Workers!$C:$C,ROW()))</f>
        <v/>
      </c>
      <c r="C41" s="21" t="str">
        <f>IF(INDEX(Workers!$D:$D,ROW())="","",INDEX(Workers!$D:$D,ROW()))</f>
        <v/>
      </c>
      <c r="D41" s="22" t="str">
        <f>IF(INDEX(Workers!$E:$E,ROW())="","",INDEX(Workers!$E:$E,ROW()))</f>
        <v/>
      </c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4" t="str">
        <f t="shared" si="0"/>
        <v/>
      </c>
      <c r="AK41" s="24" t="str">
        <f t="shared" si="1"/>
        <v/>
      </c>
      <c r="AL41" s="25" t="str">
        <f>IF(B41="","",AJ41*N(D41)+AK41*N(D41)/Setup!$B$6*Setup!$B$7)</f>
        <v/>
      </c>
      <c r="AM41" s="25" t="str">
        <f>IF(B41="","",SUMIFS(Payments!$D$5:$D$304,Payments!$B$5:$B$304,A41,Payments!$A$5:$A$304,"&gt;="&amp;DATE(Setup!$B$4,7,1),Payments!$A$5:$A$304,"&lt;="&amp;EOMONTH(DATE(Setup!$B$4,7,1),0)))</f>
        <v/>
      </c>
      <c r="AN41" s="25" t="str">
        <f t="shared" si="2"/>
        <v/>
      </c>
    </row>
    <row r="42" spans="1:40" x14ac:dyDescent="0.3">
      <c r="A42" s="14" t="str">
        <f>IF(INDEX(Workers!$B:$B,ROW())="","",INDEX(Workers!$B:$B,ROW()))</f>
        <v/>
      </c>
      <c r="B42" s="21" t="str">
        <f>IF(INDEX(Workers!$C:$C,ROW())="","",INDEX(Workers!$C:$C,ROW()))</f>
        <v/>
      </c>
      <c r="C42" s="21" t="str">
        <f>IF(INDEX(Workers!$D:$D,ROW())="","",INDEX(Workers!$D:$D,ROW()))</f>
        <v/>
      </c>
      <c r="D42" s="22" t="str">
        <f>IF(INDEX(Workers!$E:$E,ROW())="","",INDEX(Workers!$E:$E,ROW()))</f>
        <v/>
      </c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4" t="str">
        <f t="shared" si="0"/>
        <v/>
      </c>
      <c r="AK42" s="24" t="str">
        <f t="shared" si="1"/>
        <v/>
      </c>
      <c r="AL42" s="25" t="str">
        <f>IF(B42="","",AJ42*N(D42)+AK42*N(D42)/Setup!$B$6*Setup!$B$7)</f>
        <v/>
      </c>
      <c r="AM42" s="25" t="str">
        <f>IF(B42="","",SUMIFS(Payments!$D$5:$D$304,Payments!$B$5:$B$304,A42,Payments!$A$5:$A$304,"&gt;="&amp;DATE(Setup!$B$4,7,1),Payments!$A$5:$A$304,"&lt;="&amp;EOMONTH(DATE(Setup!$B$4,7,1),0)))</f>
        <v/>
      </c>
      <c r="AN42" s="25" t="str">
        <f t="shared" si="2"/>
        <v/>
      </c>
    </row>
    <row r="43" spans="1:40" x14ac:dyDescent="0.3">
      <c r="A43" s="14" t="str">
        <f>IF(INDEX(Workers!$B:$B,ROW())="","",INDEX(Workers!$B:$B,ROW()))</f>
        <v/>
      </c>
      <c r="B43" s="21" t="str">
        <f>IF(INDEX(Workers!$C:$C,ROW())="","",INDEX(Workers!$C:$C,ROW()))</f>
        <v/>
      </c>
      <c r="C43" s="21" t="str">
        <f>IF(INDEX(Workers!$D:$D,ROW())="","",INDEX(Workers!$D:$D,ROW()))</f>
        <v/>
      </c>
      <c r="D43" s="22" t="str">
        <f>IF(INDEX(Workers!$E:$E,ROW())="","",INDEX(Workers!$E:$E,ROW()))</f>
        <v/>
      </c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4" t="str">
        <f t="shared" si="0"/>
        <v/>
      </c>
      <c r="AK43" s="24" t="str">
        <f t="shared" si="1"/>
        <v/>
      </c>
      <c r="AL43" s="25" t="str">
        <f>IF(B43="","",AJ43*N(D43)+AK43*N(D43)/Setup!$B$6*Setup!$B$7)</f>
        <v/>
      </c>
      <c r="AM43" s="25" t="str">
        <f>IF(B43="","",SUMIFS(Payments!$D$5:$D$304,Payments!$B$5:$B$304,A43,Payments!$A$5:$A$304,"&gt;="&amp;DATE(Setup!$B$4,7,1),Payments!$A$5:$A$304,"&lt;="&amp;EOMONTH(DATE(Setup!$B$4,7,1),0)))</f>
        <v/>
      </c>
      <c r="AN43" s="25" t="str">
        <f t="shared" si="2"/>
        <v/>
      </c>
    </row>
    <row r="44" spans="1:40" x14ac:dyDescent="0.3">
      <c r="A44" s="14" t="str">
        <f>IF(INDEX(Workers!$B:$B,ROW())="","",INDEX(Workers!$B:$B,ROW()))</f>
        <v/>
      </c>
      <c r="B44" s="21" t="str">
        <f>IF(INDEX(Workers!$C:$C,ROW())="","",INDEX(Workers!$C:$C,ROW()))</f>
        <v/>
      </c>
      <c r="C44" s="21" t="str">
        <f>IF(INDEX(Workers!$D:$D,ROW())="","",INDEX(Workers!$D:$D,ROW()))</f>
        <v/>
      </c>
      <c r="D44" s="22" t="str">
        <f>IF(INDEX(Workers!$E:$E,ROW())="","",INDEX(Workers!$E:$E,ROW()))</f>
        <v/>
      </c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4" t="str">
        <f t="shared" si="0"/>
        <v/>
      </c>
      <c r="AK44" s="24" t="str">
        <f t="shared" si="1"/>
        <v/>
      </c>
      <c r="AL44" s="25" t="str">
        <f>IF(B44="","",AJ44*N(D44)+AK44*N(D44)/Setup!$B$6*Setup!$B$7)</f>
        <v/>
      </c>
      <c r="AM44" s="25" t="str">
        <f>IF(B44="","",SUMIFS(Payments!$D$5:$D$304,Payments!$B$5:$B$304,A44,Payments!$A$5:$A$304,"&gt;="&amp;DATE(Setup!$B$4,7,1),Payments!$A$5:$A$304,"&lt;="&amp;EOMONTH(DATE(Setup!$B$4,7,1),0)))</f>
        <v/>
      </c>
      <c r="AN44" s="25" t="str">
        <f t="shared" si="2"/>
        <v/>
      </c>
    </row>
    <row r="45" spans="1:40" x14ac:dyDescent="0.3">
      <c r="A45" s="26"/>
      <c r="B45" s="26" t="s">
        <v>88</v>
      </c>
      <c r="C45" s="26"/>
      <c r="D45" s="26"/>
      <c r="E45" s="27">
        <f t="shared" ref="E45:AI45" si="3">IF(E$3="","",COUNTIF(E5:E44,"P")+COUNTIF(E5:E44,"H")+COUNT(E5:E44))</f>
        <v>0</v>
      </c>
      <c r="F45" s="27">
        <f t="shared" si="3"/>
        <v>0</v>
      </c>
      <c r="G45" s="27">
        <f t="shared" si="3"/>
        <v>0</v>
      </c>
      <c r="H45" s="27">
        <f t="shared" si="3"/>
        <v>0</v>
      </c>
      <c r="I45" s="27">
        <f t="shared" si="3"/>
        <v>0</v>
      </c>
      <c r="J45" s="27">
        <f t="shared" si="3"/>
        <v>0</v>
      </c>
      <c r="K45" s="27">
        <f t="shared" si="3"/>
        <v>0</v>
      </c>
      <c r="L45" s="27">
        <f t="shared" si="3"/>
        <v>0</v>
      </c>
      <c r="M45" s="27">
        <f t="shared" si="3"/>
        <v>0</v>
      </c>
      <c r="N45" s="27">
        <f t="shared" si="3"/>
        <v>0</v>
      </c>
      <c r="O45" s="27">
        <f t="shared" si="3"/>
        <v>0</v>
      </c>
      <c r="P45" s="27">
        <f t="shared" si="3"/>
        <v>0</v>
      </c>
      <c r="Q45" s="27">
        <f t="shared" si="3"/>
        <v>0</v>
      </c>
      <c r="R45" s="27">
        <f t="shared" si="3"/>
        <v>0</v>
      </c>
      <c r="S45" s="27">
        <f t="shared" si="3"/>
        <v>0</v>
      </c>
      <c r="T45" s="27">
        <f t="shared" si="3"/>
        <v>0</v>
      </c>
      <c r="U45" s="27">
        <f t="shared" si="3"/>
        <v>0</v>
      </c>
      <c r="V45" s="27">
        <f t="shared" si="3"/>
        <v>0</v>
      </c>
      <c r="W45" s="27">
        <f t="shared" si="3"/>
        <v>0</v>
      </c>
      <c r="X45" s="27">
        <f t="shared" si="3"/>
        <v>0</v>
      </c>
      <c r="Y45" s="27">
        <f t="shared" si="3"/>
        <v>0</v>
      </c>
      <c r="Z45" s="27">
        <f t="shared" si="3"/>
        <v>0</v>
      </c>
      <c r="AA45" s="27">
        <f t="shared" si="3"/>
        <v>0</v>
      </c>
      <c r="AB45" s="27">
        <f t="shared" si="3"/>
        <v>0</v>
      </c>
      <c r="AC45" s="27">
        <f t="shared" si="3"/>
        <v>0</v>
      </c>
      <c r="AD45" s="27">
        <f t="shared" si="3"/>
        <v>0</v>
      </c>
      <c r="AE45" s="27">
        <f t="shared" si="3"/>
        <v>0</v>
      </c>
      <c r="AF45" s="27">
        <f t="shared" si="3"/>
        <v>0</v>
      </c>
      <c r="AG45" s="27">
        <f t="shared" si="3"/>
        <v>0</v>
      </c>
      <c r="AH45" s="27">
        <f t="shared" si="3"/>
        <v>0</v>
      </c>
      <c r="AI45" s="27">
        <f t="shared" si="3"/>
        <v>0</v>
      </c>
      <c r="AJ45" s="28">
        <f>SUM(AJ5:AJ44)</f>
        <v>0</v>
      </c>
      <c r="AK45" s="28">
        <f>SUM(AK5:AK44)</f>
        <v>0</v>
      </c>
      <c r="AL45" s="29">
        <f>SUM(AL5:AL44)</f>
        <v>0</v>
      </c>
      <c r="AM45" s="29">
        <f>SUM(AM5:AM44)</f>
        <v>0</v>
      </c>
      <c r="AN45" s="29">
        <f>SUM(AN5:AN44)</f>
        <v>0</v>
      </c>
    </row>
  </sheetData>
  <conditionalFormatting sqref="E3:AI3">
    <cfRule type="expression" dxfId="41" priority="2">
      <formula>E$3="Sun"</formula>
    </cfRule>
  </conditionalFormatting>
  <conditionalFormatting sqref="E3:AI45">
    <cfRule type="expression" dxfId="40" priority="1">
      <formula>E$3=""</formula>
    </cfRule>
  </conditionalFormatting>
  <conditionalFormatting sqref="E5:AI44">
    <cfRule type="expression" dxfId="39" priority="6">
      <formula>E5="A"</formula>
    </cfRule>
    <cfRule type="expression" dxfId="38" priority="7">
      <formula>E5="H"</formula>
    </cfRule>
    <cfRule type="expression" dxfId="37" priority="8">
      <formula>ISNUMBER(E5)</formula>
    </cfRule>
  </conditionalFormatting>
  <conditionalFormatting sqref="E5:AI45">
    <cfRule type="expression" dxfId="36" priority="4">
      <formula>E$3="Sun"</formula>
    </cfRule>
  </conditionalFormatting>
  <conditionalFormatting sqref="AN5:AN44">
    <cfRule type="expression" dxfId="35" priority="9">
      <formula>AN5&lt;0</formula>
    </cfRule>
  </conditionalFormatting>
  <dataValidations count="1">
    <dataValidation type="custom" allowBlank="1" showErrorMessage="1" errorTitle="Attendance code" error="Type P, H, A, L, or the number of overtime hours (0 to 12). Shaded days do not exist in this month." sqref="E5:AI44" xr:uid="{00000000-0002-0000-0900-000000000000}">
      <formula1>AND(E$3&lt;&gt;"",OR(E5="P",E5="H",E5="A",E5="L",AND(ISNUMBER(E5),E5&gt;=0,E5&lt;=12)))</formula1>
    </dataValidation>
  </dataValidations>
  <printOptions horizontalCentered="1"/>
  <pageMargins left="0.45" right="0.45" top="0.6" bottom="0.6" header="0.3" footer="0.3"/>
  <pageSetup paperSize="9" scale="66" orientation="landscape" r:id="rId1"/>
  <headerFooter>
    <oddFooter>&amp;L&amp;8Free from NirmanDost - nirmandost.in - sign up for more free tools&amp;R&amp;8Page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N45"/>
  <sheetViews>
    <sheetView showGridLines="0" workbookViewId="0">
      <pane xSplit="4" ySplit="4" topLeftCell="E5" activePane="bottomRight" state="frozen"/>
      <selection pane="topRight"/>
      <selection pane="bottomLeft"/>
      <selection pane="bottomRight"/>
    </sheetView>
  </sheetViews>
  <sheetFormatPr defaultRowHeight="14.4" x14ac:dyDescent="0.3"/>
  <cols>
    <col min="1" max="1" width="7" customWidth="1"/>
    <col min="2" max="2" width="24" customWidth="1"/>
    <col min="3" max="3" width="11" customWidth="1"/>
    <col min="4" max="4" width="9" customWidth="1"/>
    <col min="5" max="35" width="3.5546875" customWidth="1"/>
    <col min="36" max="37" width="6.44140625" customWidth="1"/>
    <col min="38" max="38" width="12" customWidth="1"/>
    <col min="39" max="40" width="11" customWidth="1"/>
  </cols>
  <sheetData>
    <row r="1" spans="1:40" ht="17.399999999999999" x14ac:dyDescent="0.3">
      <c r="A1" s="18" t="str">
        <f>"Attendance - "&amp;TEXT(DATE(Setup!$B$4,8,1),"mmmm yyyy")&amp;"   "&amp;Setup!$B$5</f>
        <v>Attendance - August 2026   Type the site name</v>
      </c>
    </row>
    <row r="2" spans="1:40" x14ac:dyDescent="0.3">
      <c r="A2" s="19" t="s">
        <v>49</v>
      </c>
    </row>
    <row r="3" spans="1:40" x14ac:dyDescent="0.3">
      <c r="E3" s="20" t="str">
        <f>IF(1&gt;DAY(EOMONTH(DATE(Setup!$B$4,8,1),0)),"",TEXT(DATE(Setup!$B$4,8,1),"ddd"))</f>
        <v>Sat</v>
      </c>
      <c r="F3" s="20" t="str">
        <f>IF(2&gt;DAY(EOMONTH(DATE(Setup!$B$4,8,1),0)),"",TEXT(DATE(Setup!$B$4,8,2),"ddd"))</f>
        <v>Sun</v>
      </c>
      <c r="G3" s="20" t="str">
        <f>IF(3&gt;DAY(EOMONTH(DATE(Setup!$B$4,8,1),0)),"",TEXT(DATE(Setup!$B$4,8,3),"ddd"))</f>
        <v>Mon</v>
      </c>
      <c r="H3" s="20" t="str">
        <f>IF(4&gt;DAY(EOMONTH(DATE(Setup!$B$4,8,1),0)),"",TEXT(DATE(Setup!$B$4,8,4),"ddd"))</f>
        <v>Tue</v>
      </c>
      <c r="I3" s="20" t="str">
        <f>IF(5&gt;DAY(EOMONTH(DATE(Setup!$B$4,8,1),0)),"",TEXT(DATE(Setup!$B$4,8,5),"ddd"))</f>
        <v>Wed</v>
      </c>
      <c r="J3" s="20" t="str">
        <f>IF(6&gt;DAY(EOMONTH(DATE(Setup!$B$4,8,1),0)),"",TEXT(DATE(Setup!$B$4,8,6),"ddd"))</f>
        <v>Thu</v>
      </c>
      <c r="K3" s="20" t="str">
        <f>IF(7&gt;DAY(EOMONTH(DATE(Setup!$B$4,8,1),0)),"",TEXT(DATE(Setup!$B$4,8,7),"ddd"))</f>
        <v>Fri</v>
      </c>
      <c r="L3" s="20" t="str">
        <f>IF(8&gt;DAY(EOMONTH(DATE(Setup!$B$4,8,1),0)),"",TEXT(DATE(Setup!$B$4,8,8),"ddd"))</f>
        <v>Sat</v>
      </c>
      <c r="M3" s="20" t="str">
        <f>IF(9&gt;DAY(EOMONTH(DATE(Setup!$B$4,8,1),0)),"",TEXT(DATE(Setup!$B$4,8,9),"ddd"))</f>
        <v>Sun</v>
      </c>
      <c r="N3" s="20" t="str">
        <f>IF(10&gt;DAY(EOMONTH(DATE(Setup!$B$4,8,1),0)),"",TEXT(DATE(Setup!$B$4,8,10),"ddd"))</f>
        <v>Mon</v>
      </c>
      <c r="O3" s="20" t="str">
        <f>IF(11&gt;DAY(EOMONTH(DATE(Setup!$B$4,8,1),0)),"",TEXT(DATE(Setup!$B$4,8,11),"ddd"))</f>
        <v>Tue</v>
      </c>
      <c r="P3" s="20" t="str">
        <f>IF(12&gt;DAY(EOMONTH(DATE(Setup!$B$4,8,1),0)),"",TEXT(DATE(Setup!$B$4,8,12),"ddd"))</f>
        <v>Wed</v>
      </c>
      <c r="Q3" s="20" t="str">
        <f>IF(13&gt;DAY(EOMONTH(DATE(Setup!$B$4,8,1),0)),"",TEXT(DATE(Setup!$B$4,8,13),"ddd"))</f>
        <v>Thu</v>
      </c>
      <c r="R3" s="20" t="str">
        <f>IF(14&gt;DAY(EOMONTH(DATE(Setup!$B$4,8,1),0)),"",TEXT(DATE(Setup!$B$4,8,14),"ddd"))</f>
        <v>Fri</v>
      </c>
      <c r="S3" s="20" t="str">
        <f>IF(15&gt;DAY(EOMONTH(DATE(Setup!$B$4,8,1),0)),"",TEXT(DATE(Setup!$B$4,8,15),"ddd"))</f>
        <v>Sat</v>
      </c>
      <c r="T3" s="20" t="str">
        <f>IF(16&gt;DAY(EOMONTH(DATE(Setup!$B$4,8,1),0)),"",TEXT(DATE(Setup!$B$4,8,16),"ddd"))</f>
        <v>Sun</v>
      </c>
      <c r="U3" s="20" t="str">
        <f>IF(17&gt;DAY(EOMONTH(DATE(Setup!$B$4,8,1),0)),"",TEXT(DATE(Setup!$B$4,8,17),"ddd"))</f>
        <v>Mon</v>
      </c>
      <c r="V3" s="20" t="str">
        <f>IF(18&gt;DAY(EOMONTH(DATE(Setup!$B$4,8,1),0)),"",TEXT(DATE(Setup!$B$4,8,18),"ddd"))</f>
        <v>Tue</v>
      </c>
      <c r="W3" s="20" t="str">
        <f>IF(19&gt;DAY(EOMONTH(DATE(Setup!$B$4,8,1),0)),"",TEXT(DATE(Setup!$B$4,8,19),"ddd"))</f>
        <v>Wed</v>
      </c>
      <c r="X3" s="20" t="str">
        <f>IF(20&gt;DAY(EOMONTH(DATE(Setup!$B$4,8,1),0)),"",TEXT(DATE(Setup!$B$4,8,20),"ddd"))</f>
        <v>Thu</v>
      </c>
      <c r="Y3" s="20" t="str">
        <f>IF(21&gt;DAY(EOMONTH(DATE(Setup!$B$4,8,1),0)),"",TEXT(DATE(Setup!$B$4,8,21),"ddd"))</f>
        <v>Fri</v>
      </c>
      <c r="Z3" s="20" t="str">
        <f>IF(22&gt;DAY(EOMONTH(DATE(Setup!$B$4,8,1),0)),"",TEXT(DATE(Setup!$B$4,8,22),"ddd"))</f>
        <v>Sat</v>
      </c>
      <c r="AA3" s="20" t="str">
        <f>IF(23&gt;DAY(EOMONTH(DATE(Setup!$B$4,8,1),0)),"",TEXT(DATE(Setup!$B$4,8,23),"ddd"))</f>
        <v>Sun</v>
      </c>
      <c r="AB3" s="20" t="str">
        <f>IF(24&gt;DAY(EOMONTH(DATE(Setup!$B$4,8,1),0)),"",TEXT(DATE(Setup!$B$4,8,24),"ddd"))</f>
        <v>Mon</v>
      </c>
      <c r="AC3" s="20" t="str">
        <f>IF(25&gt;DAY(EOMONTH(DATE(Setup!$B$4,8,1),0)),"",TEXT(DATE(Setup!$B$4,8,25),"ddd"))</f>
        <v>Tue</v>
      </c>
      <c r="AD3" s="20" t="str">
        <f>IF(26&gt;DAY(EOMONTH(DATE(Setup!$B$4,8,1),0)),"",TEXT(DATE(Setup!$B$4,8,26),"ddd"))</f>
        <v>Wed</v>
      </c>
      <c r="AE3" s="20" t="str">
        <f>IF(27&gt;DAY(EOMONTH(DATE(Setup!$B$4,8,1),0)),"",TEXT(DATE(Setup!$B$4,8,27),"ddd"))</f>
        <v>Thu</v>
      </c>
      <c r="AF3" s="20" t="str">
        <f>IF(28&gt;DAY(EOMONTH(DATE(Setup!$B$4,8,1),0)),"",TEXT(DATE(Setup!$B$4,8,28),"ddd"))</f>
        <v>Fri</v>
      </c>
      <c r="AG3" s="20" t="str">
        <f>IF(29&gt;DAY(EOMONTH(DATE(Setup!$B$4,8,1),0)),"",TEXT(DATE(Setup!$B$4,8,29),"ddd"))</f>
        <v>Sat</v>
      </c>
      <c r="AH3" s="20" t="str">
        <f>IF(30&gt;DAY(EOMONTH(DATE(Setup!$B$4,8,1),0)),"",TEXT(DATE(Setup!$B$4,8,30),"ddd"))</f>
        <v>Sun</v>
      </c>
      <c r="AI3" s="20" t="str">
        <f>IF(31&gt;DAY(EOMONTH(DATE(Setup!$B$4,8,1),0)),"",TEXT(DATE(Setup!$B$4,8,31),"ddd"))</f>
        <v>Mon</v>
      </c>
    </row>
    <row r="4" spans="1:40" ht="28.05" customHeight="1" x14ac:dyDescent="0.3">
      <c r="A4" s="13" t="s">
        <v>50</v>
      </c>
      <c r="B4" s="13" t="s">
        <v>37</v>
      </c>
      <c r="C4" s="13" t="s">
        <v>38</v>
      </c>
      <c r="D4" s="13" t="s">
        <v>51</v>
      </c>
      <c r="E4" s="13" t="s">
        <v>52</v>
      </c>
      <c r="F4" s="13" t="s">
        <v>53</v>
      </c>
      <c r="G4" s="13" t="s">
        <v>54</v>
      </c>
      <c r="H4" s="13" t="s">
        <v>55</v>
      </c>
      <c r="I4" s="13" t="s">
        <v>56</v>
      </c>
      <c r="J4" s="13" t="s">
        <v>57</v>
      </c>
      <c r="K4" s="13" t="s">
        <v>58</v>
      </c>
      <c r="L4" s="13" t="s">
        <v>59</v>
      </c>
      <c r="M4" s="13" t="s">
        <v>60</v>
      </c>
      <c r="N4" s="13" t="s">
        <v>61</v>
      </c>
      <c r="O4" s="13" t="s">
        <v>62</v>
      </c>
      <c r="P4" s="13" t="s">
        <v>63</v>
      </c>
      <c r="Q4" s="13" t="s">
        <v>64</v>
      </c>
      <c r="R4" s="13" t="s">
        <v>65</v>
      </c>
      <c r="S4" s="13" t="s">
        <v>66</v>
      </c>
      <c r="T4" s="13" t="s">
        <v>67</v>
      </c>
      <c r="U4" s="13" t="s">
        <v>68</v>
      </c>
      <c r="V4" s="13" t="s">
        <v>69</v>
      </c>
      <c r="W4" s="13" t="s">
        <v>70</v>
      </c>
      <c r="X4" s="13" t="s">
        <v>71</v>
      </c>
      <c r="Y4" s="13" t="s">
        <v>72</v>
      </c>
      <c r="Z4" s="13" t="s">
        <v>73</v>
      </c>
      <c r="AA4" s="13" t="s">
        <v>74</v>
      </c>
      <c r="AB4" s="13" t="s">
        <v>75</v>
      </c>
      <c r="AC4" s="13" t="s">
        <v>76</v>
      </c>
      <c r="AD4" s="13" t="s">
        <v>77</v>
      </c>
      <c r="AE4" s="13" t="s">
        <v>78</v>
      </c>
      <c r="AF4" s="13" t="s">
        <v>79</v>
      </c>
      <c r="AG4" s="13" t="s">
        <v>80</v>
      </c>
      <c r="AH4" s="13" t="s">
        <v>81</v>
      </c>
      <c r="AI4" s="13" t="s">
        <v>82</v>
      </c>
      <c r="AJ4" s="13" t="s">
        <v>83</v>
      </c>
      <c r="AK4" s="13" t="s">
        <v>84</v>
      </c>
      <c r="AL4" s="13" t="s">
        <v>85</v>
      </c>
      <c r="AM4" s="13" t="s">
        <v>86</v>
      </c>
      <c r="AN4" s="13" t="s">
        <v>87</v>
      </c>
    </row>
    <row r="5" spans="1:40" x14ac:dyDescent="0.3">
      <c r="A5" s="14" t="str">
        <f>IF(INDEX(Workers!$B:$B,ROW())="","",INDEX(Workers!$B:$B,ROW()))</f>
        <v>W-01</v>
      </c>
      <c r="B5" s="21" t="str">
        <f>IF(INDEX(Workers!$C:$C,ROW())="","",INDEX(Workers!$C:$C,ROW()))</f>
        <v>Ramesh (EXAMPLE, clear me)</v>
      </c>
      <c r="C5" s="21" t="str">
        <f>IF(INDEX(Workers!$D:$D,ROW())="","",INDEX(Workers!$D:$D,ROW()))</f>
        <v>Mason</v>
      </c>
      <c r="D5" s="22">
        <f>IF(INDEX(Workers!$E:$E,ROW())="","",INDEX(Workers!$E:$E,ROW()))</f>
        <v>900</v>
      </c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4">
        <f t="shared" ref="AJ5:AJ44" si="0">IF(B5="","",SUMPRODUCT((E$3:AI$3&lt;&gt;"")*(E5:AI5="P"))+0.5*SUMPRODUCT((E$3:AI$3&lt;&gt;"")*(E5:AI5="H"))+SUMPRODUCT((E$3:AI$3&lt;&gt;"")*ISNUMBER(E5:AI5)))</f>
        <v>0</v>
      </c>
      <c r="AK5" s="24">
        <f t="shared" ref="AK5:AK44" si="1">IF(B5="","",SUMPRODUCT((E$3:AI$3&lt;&gt;"")*ISNUMBER(E5:AI5),E5:AI5))</f>
        <v>0</v>
      </c>
      <c r="AL5" s="25">
        <f>IF(B5="","",AJ5*N(D5)+AK5*N(D5)/Setup!$B$6*Setup!$B$7)</f>
        <v>0</v>
      </c>
      <c r="AM5" s="25">
        <f>IF(B5="","",SUMIFS(Payments!$D$5:$D$304,Payments!$B$5:$B$304,A5,Payments!$A$5:$A$304,"&gt;="&amp;DATE(Setup!$B$4,8,1),Payments!$A$5:$A$304,"&lt;="&amp;EOMONTH(DATE(Setup!$B$4,8,1),0)))</f>
        <v>0</v>
      </c>
      <c r="AN5" s="25">
        <f t="shared" ref="AN5:AN44" si="2">IF(B5="","",AL5-AM5)</f>
        <v>0</v>
      </c>
    </row>
    <row r="6" spans="1:40" x14ac:dyDescent="0.3">
      <c r="A6" s="14" t="str">
        <f>IF(INDEX(Workers!$B:$B,ROW())="","",INDEX(Workers!$B:$B,ROW()))</f>
        <v/>
      </c>
      <c r="B6" s="21" t="str">
        <f>IF(INDEX(Workers!$C:$C,ROW())="","",INDEX(Workers!$C:$C,ROW()))</f>
        <v/>
      </c>
      <c r="C6" s="21" t="str">
        <f>IF(INDEX(Workers!$D:$D,ROW())="","",INDEX(Workers!$D:$D,ROW()))</f>
        <v/>
      </c>
      <c r="D6" s="22" t="str">
        <f>IF(INDEX(Workers!$E:$E,ROW())="","",INDEX(Workers!$E:$E,ROW()))</f>
        <v/>
      </c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4" t="str">
        <f t="shared" si="0"/>
        <v/>
      </c>
      <c r="AK6" s="24" t="str">
        <f t="shared" si="1"/>
        <v/>
      </c>
      <c r="AL6" s="25" t="str">
        <f>IF(B6="","",AJ6*N(D6)+AK6*N(D6)/Setup!$B$6*Setup!$B$7)</f>
        <v/>
      </c>
      <c r="AM6" s="25" t="str">
        <f>IF(B6="","",SUMIFS(Payments!$D$5:$D$304,Payments!$B$5:$B$304,A6,Payments!$A$5:$A$304,"&gt;="&amp;DATE(Setup!$B$4,8,1),Payments!$A$5:$A$304,"&lt;="&amp;EOMONTH(DATE(Setup!$B$4,8,1),0)))</f>
        <v/>
      </c>
      <c r="AN6" s="25" t="str">
        <f t="shared" si="2"/>
        <v/>
      </c>
    </row>
    <row r="7" spans="1:40" x14ac:dyDescent="0.3">
      <c r="A7" s="14" t="str">
        <f>IF(INDEX(Workers!$B:$B,ROW())="","",INDEX(Workers!$B:$B,ROW()))</f>
        <v/>
      </c>
      <c r="B7" s="21" t="str">
        <f>IF(INDEX(Workers!$C:$C,ROW())="","",INDEX(Workers!$C:$C,ROW()))</f>
        <v/>
      </c>
      <c r="C7" s="21" t="str">
        <f>IF(INDEX(Workers!$D:$D,ROW())="","",INDEX(Workers!$D:$D,ROW()))</f>
        <v/>
      </c>
      <c r="D7" s="22" t="str">
        <f>IF(INDEX(Workers!$E:$E,ROW())="","",INDEX(Workers!$E:$E,ROW()))</f>
        <v/>
      </c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4" t="str">
        <f t="shared" si="0"/>
        <v/>
      </c>
      <c r="AK7" s="24" t="str">
        <f t="shared" si="1"/>
        <v/>
      </c>
      <c r="AL7" s="25" t="str">
        <f>IF(B7="","",AJ7*N(D7)+AK7*N(D7)/Setup!$B$6*Setup!$B$7)</f>
        <v/>
      </c>
      <c r="AM7" s="25" t="str">
        <f>IF(B7="","",SUMIFS(Payments!$D$5:$D$304,Payments!$B$5:$B$304,A7,Payments!$A$5:$A$304,"&gt;="&amp;DATE(Setup!$B$4,8,1),Payments!$A$5:$A$304,"&lt;="&amp;EOMONTH(DATE(Setup!$B$4,8,1),0)))</f>
        <v/>
      </c>
      <c r="AN7" s="25" t="str">
        <f t="shared" si="2"/>
        <v/>
      </c>
    </row>
    <row r="8" spans="1:40" x14ac:dyDescent="0.3">
      <c r="A8" s="14" t="str">
        <f>IF(INDEX(Workers!$B:$B,ROW())="","",INDEX(Workers!$B:$B,ROW()))</f>
        <v/>
      </c>
      <c r="B8" s="21" t="str">
        <f>IF(INDEX(Workers!$C:$C,ROW())="","",INDEX(Workers!$C:$C,ROW()))</f>
        <v/>
      </c>
      <c r="C8" s="21" t="str">
        <f>IF(INDEX(Workers!$D:$D,ROW())="","",INDEX(Workers!$D:$D,ROW()))</f>
        <v/>
      </c>
      <c r="D8" s="22" t="str">
        <f>IF(INDEX(Workers!$E:$E,ROW())="","",INDEX(Workers!$E:$E,ROW()))</f>
        <v/>
      </c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4" t="str">
        <f t="shared" si="0"/>
        <v/>
      </c>
      <c r="AK8" s="24" t="str">
        <f t="shared" si="1"/>
        <v/>
      </c>
      <c r="AL8" s="25" t="str">
        <f>IF(B8="","",AJ8*N(D8)+AK8*N(D8)/Setup!$B$6*Setup!$B$7)</f>
        <v/>
      </c>
      <c r="AM8" s="25" t="str">
        <f>IF(B8="","",SUMIFS(Payments!$D$5:$D$304,Payments!$B$5:$B$304,A8,Payments!$A$5:$A$304,"&gt;="&amp;DATE(Setup!$B$4,8,1),Payments!$A$5:$A$304,"&lt;="&amp;EOMONTH(DATE(Setup!$B$4,8,1),0)))</f>
        <v/>
      </c>
      <c r="AN8" s="25" t="str">
        <f t="shared" si="2"/>
        <v/>
      </c>
    </row>
    <row r="9" spans="1:40" x14ac:dyDescent="0.3">
      <c r="A9" s="14" t="str">
        <f>IF(INDEX(Workers!$B:$B,ROW())="","",INDEX(Workers!$B:$B,ROW()))</f>
        <v/>
      </c>
      <c r="B9" s="21" t="str">
        <f>IF(INDEX(Workers!$C:$C,ROW())="","",INDEX(Workers!$C:$C,ROW()))</f>
        <v/>
      </c>
      <c r="C9" s="21" t="str">
        <f>IF(INDEX(Workers!$D:$D,ROW())="","",INDEX(Workers!$D:$D,ROW()))</f>
        <v/>
      </c>
      <c r="D9" s="22" t="str">
        <f>IF(INDEX(Workers!$E:$E,ROW())="","",INDEX(Workers!$E:$E,ROW()))</f>
        <v/>
      </c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4" t="str">
        <f t="shared" si="0"/>
        <v/>
      </c>
      <c r="AK9" s="24" t="str">
        <f t="shared" si="1"/>
        <v/>
      </c>
      <c r="AL9" s="25" t="str">
        <f>IF(B9="","",AJ9*N(D9)+AK9*N(D9)/Setup!$B$6*Setup!$B$7)</f>
        <v/>
      </c>
      <c r="AM9" s="25" t="str">
        <f>IF(B9="","",SUMIFS(Payments!$D$5:$D$304,Payments!$B$5:$B$304,A9,Payments!$A$5:$A$304,"&gt;="&amp;DATE(Setup!$B$4,8,1),Payments!$A$5:$A$304,"&lt;="&amp;EOMONTH(DATE(Setup!$B$4,8,1),0)))</f>
        <v/>
      </c>
      <c r="AN9" s="25" t="str">
        <f t="shared" si="2"/>
        <v/>
      </c>
    </row>
    <row r="10" spans="1:40" x14ac:dyDescent="0.3">
      <c r="A10" s="14" t="str">
        <f>IF(INDEX(Workers!$B:$B,ROW())="","",INDEX(Workers!$B:$B,ROW()))</f>
        <v/>
      </c>
      <c r="B10" s="21" t="str">
        <f>IF(INDEX(Workers!$C:$C,ROW())="","",INDEX(Workers!$C:$C,ROW()))</f>
        <v/>
      </c>
      <c r="C10" s="21" t="str">
        <f>IF(INDEX(Workers!$D:$D,ROW())="","",INDEX(Workers!$D:$D,ROW()))</f>
        <v/>
      </c>
      <c r="D10" s="22" t="str">
        <f>IF(INDEX(Workers!$E:$E,ROW())="","",INDEX(Workers!$E:$E,ROW()))</f>
        <v/>
      </c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4" t="str">
        <f t="shared" si="0"/>
        <v/>
      </c>
      <c r="AK10" s="24" t="str">
        <f t="shared" si="1"/>
        <v/>
      </c>
      <c r="AL10" s="25" t="str">
        <f>IF(B10="","",AJ10*N(D10)+AK10*N(D10)/Setup!$B$6*Setup!$B$7)</f>
        <v/>
      </c>
      <c r="AM10" s="25" t="str">
        <f>IF(B10="","",SUMIFS(Payments!$D$5:$D$304,Payments!$B$5:$B$304,A10,Payments!$A$5:$A$304,"&gt;="&amp;DATE(Setup!$B$4,8,1),Payments!$A$5:$A$304,"&lt;="&amp;EOMONTH(DATE(Setup!$B$4,8,1),0)))</f>
        <v/>
      </c>
      <c r="AN10" s="25" t="str">
        <f t="shared" si="2"/>
        <v/>
      </c>
    </row>
    <row r="11" spans="1:40" x14ac:dyDescent="0.3">
      <c r="A11" s="14" t="str">
        <f>IF(INDEX(Workers!$B:$B,ROW())="","",INDEX(Workers!$B:$B,ROW()))</f>
        <v/>
      </c>
      <c r="B11" s="21" t="str">
        <f>IF(INDEX(Workers!$C:$C,ROW())="","",INDEX(Workers!$C:$C,ROW()))</f>
        <v/>
      </c>
      <c r="C11" s="21" t="str">
        <f>IF(INDEX(Workers!$D:$D,ROW())="","",INDEX(Workers!$D:$D,ROW()))</f>
        <v/>
      </c>
      <c r="D11" s="22" t="str">
        <f>IF(INDEX(Workers!$E:$E,ROW())="","",INDEX(Workers!$E:$E,ROW()))</f>
        <v/>
      </c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4" t="str">
        <f t="shared" si="0"/>
        <v/>
      </c>
      <c r="AK11" s="24" t="str">
        <f t="shared" si="1"/>
        <v/>
      </c>
      <c r="AL11" s="25" t="str">
        <f>IF(B11="","",AJ11*N(D11)+AK11*N(D11)/Setup!$B$6*Setup!$B$7)</f>
        <v/>
      </c>
      <c r="AM11" s="25" t="str">
        <f>IF(B11="","",SUMIFS(Payments!$D$5:$D$304,Payments!$B$5:$B$304,A11,Payments!$A$5:$A$304,"&gt;="&amp;DATE(Setup!$B$4,8,1),Payments!$A$5:$A$304,"&lt;="&amp;EOMONTH(DATE(Setup!$B$4,8,1),0)))</f>
        <v/>
      </c>
      <c r="AN11" s="25" t="str">
        <f t="shared" si="2"/>
        <v/>
      </c>
    </row>
    <row r="12" spans="1:40" x14ac:dyDescent="0.3">
      <c r="A12" s="14" t="str">
        <f>IF(INDEX(Workers!$B:$B,ROW())="","",INDEX(Workers!$B:$B,ROW()))</f>
        <v/>
      </c>
      <c r="B12" s="21" t="str">
        <f>IF(INDEX(Workers!$C:$C,ROW())="","",INDEX(Workers!$C:$C,ROW()))</f>
        <v/>
      </c>
      <c r="C12" s="21" t="str">
        <f>IF(INDEX(Workers!$D:$D,ROW())="","",INDEX(Workers!$D:$D,ROW()))</f>
        <v/>
      </c>
      <c r="D12" s="22" t="str">
        <f>IF(INDEX(Workers!$E:$E,ROW())="","",INDEX(Workers!$E:$E,ROW()))</f>
        <v/>
      </c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4" t="str">
        <f t="shared" si="0"/>
        <v/>
      </c>
      <c r="AK12" s="24" t="str">
        <f t="shared" si="1"/>
        <v/>
      </c>
      <c r="AL12" s="25" t="str">
        <f>IF(B12="","",AJ12*N(D12)+AK12*N(D12)/Setup!$B$6*Setup!$B$7)</f>
        <v/>
      </c>
      <c r="AM12" s="25" t="str">
        <f>IF(B12="","",SUMIFS(Payments!$D$5:$D$304,Payments!$B$5:$B$304,A12,Payments!$A$5:$A$304,"&gt;="&amp;DATE(Setup!$B$4,8,1),Payments!$A$5:$A$304,"&lt;="&amp;EOMONTH(DATE(Setup!$B$4,8,1),0)))</f>
        <v/>
      </c>
      <c r="AN12" s="25" t="str">
        <f t="shared" si="2"/>
        <v/>
      </c>
    </row>
    <row r="13" spans="1:40" x14ac:dyDescent="0.3">
      <c r="A13" s="14" t="str">
        <f>IF(INDEX(Workers!$B:$B,ROW())="","",INDEX(Workers!$B:$B,ROW()))</f>
        <v/>
      </c>
      <c r="B13" s="21" t="str">
        <f>IF(INDEX(Workers!$C:$C,ROW())="","",INDEX(Workers!$C:$C,ROW()))</f>
        <v/>
      </c>
      <c r="C13" s="21" t="str">
        <f>IF(INDEX(Workers!$D:$D,ROW())="","",INDEX(Workers!$D:$D,ROW()))</f>
        <v/>
      </c>
      <c r="D13" s="22" t="str">
        <f>IF(INDEX(Workers!$E:$E,ROW())="","",INDEX(Workers!$E:$E,ROW()))</f>
        <v/>
      </c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4" t="str">
        <f t="shared" si="0"/>
        <v/>
      </c>
      <c r="AK13" s="24" t="str">
        <f t="shared" si="1"/>
        <v/>
      </c>
      <c r="AL13" s="25" t="str">
        <f>IF(B13="","",AJ13*N(D13)+AK13*N(D13)/Setup!$B$6*Setup!$B$7)</f>
        <v/>
      </c>
      <c r="AM13" s="25" t="str">
        <f>IF(B13="","",SUMIFS(Payments!$D$5:$D$304,Payments!$B$5:$B$304,A13,Payments!$A$5:$A$304,"&gt;="&amp;DATE(Setup!$B$4,8,1),Payments!$A$5:$A$304,"&lt;="&amp;EOMONTH(DATE(Setup!$B$4,8,1),0)))</f>
        <v/>
      </c>
      <c r="AN13" s="25" t="str">
        <f t="shared" si="2"/>
        <v/>
      </c>
    </row>
    <row r="14" spans="1:40" x14ac:dyDescent="0.3">
      <c r="A14" s="14" t="str">
        <f>IF(INDEX(Workers!$B:$B,ROW())="","",INDEX(Workers!$B:$B,ROW()))</f>
        <v/>
      </c>
      <c r="B14" s="21" t="str">
        <f>IF(INDEX(Workers!$C:$C,ROW())="","",INDEX(Workers!$C:$C,ROW()))</f>
        <v/>
      </c>
      <c r="C14" s="21" t="str">
        <f>IF(INDEX(Workers!$D:$D,ROW())="","",INDEX(Workers!$D:$D,ROW()))</f>
        <v/>
      </c>
      <c r="D14" s="22" t="str">
        <f>IF(INDEX(Workers!$E:$E,ROW())="","",INDEX(Workers!$E:$E,ROW()))</f>
        <v/>
      </c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4" t="str">
        <f t="shared" si="0"/>
        <v/>
      </c>
      <c r="AK14" s="24" t="str">
        <f t="shared" si="1"/>
        <v/>
      </c>
      <c r="AL14" s="25" t="str">
        <f>IF(B14="","",AJ14*N(D14)+AK14*N(D14)/Setup!$B$6*Setup!$B$7)</f>
        <v/>
      </c>
      <c r="AM14" s="25" t="str">
        <f>IF(B14="","",SUMIFS(Payments!$D$5:$D$304,Payments!$B$5:$B$304,A14,Payments!$A$5:$A$304,"&gt;="&amp;DATE(Setup!$B$4,8,1),Payments!$A$5:$A$304,"&lt;="&amp;EOMONTH(DATE(Setup!$B$4,8,1),0)))</f>
        <v/>
      </c>
      <c r="AN14" s="25" t="str">
        <f t="shared" si="2"/>
        <v/>
      </c>
    </row>
    <row r="15" spans="1:40" x14ac:dyDescent="0.3">
      <c r="A15" s="14" t="str">
        <f>IF(INDEX(Workers!$B:$B,ROW())="","",INDEX(Workers!$B:$B,ROW()))</f>
        <v/>
      </c>
      <c r="B15" s="21" t="str">
        <f>IF(INDEX(Workers!$C:$C,ROW())="","",INDEX(Workers!$C:$C,ROW()))</f>
        <v/>
      </c>
      <c r="C15" s="21" t="str">
        <f>IF(INDEX(Workers!$D:$D,ROW())="","",INDEX(Workers!$D:$D,ROW()))</f>
        <v/>
      </c>
      <c r="D15" s="22" t="str">
        <f>IF(INDEX(Workers!$E:$E,ROW())="","",INDEX(Workers!$E:$E,ROW()))</f>
        <v/>
      </c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4" t="str">
        <f t="shared" si="0"/>
        <v/>
      </c>
      <c r="AK15" s="24" t="str">
        <f t="shared" si="1"/>
        <v/>
      </c>
      <c r="AL15" s="25" t="str">
        <f>IF(B15="","",AJ15*N(D15)+AK15*N(D15)/Setup!$B$6*Setup!$B$7)</f>
        <v/>
      </c>
      <c r="AM15" s="25" t="str">
        <f>IF(B15="","",SUMIFS(Payments!$D$5:$D$304,Payments!$B$5:$B$304,A15,Payments!$A$5:$A$304,"&gt;="&amp;DATE(Setup!$B$4,8,1),Payments!$A$5:$A$304,"&lt;="&amp;EOMONTH(DATE(Setup!$B$4,8,1),0)))</f>
        <v/>
      </c>
      <c r="AN15" s="25" t="str">
        <f t="shared" si="2"/>
        <v/>
      </c>
    </row>
    <row r="16" spans="1:40" x14ac:dyDescent="0.3">
      <c r="A16" s="14" t="str">
        <f>IF(INDEX(Workers!$B:$B,ROW())="","",INDEX(Workers!$B:$B,ROW()))</f>
        <v/>
      </c>
      <c r="B16" s="21" t="str">
        <f>IF(INDEX(Workers!$C:$C,ROW())="","",INDEX(Workers!$C:$C,ROW()))</f>
        <v/>
      </c>
      <c r="C16" s="21" t="str">
        <f>IF(INDEX(Workers!$D:$D,ROW())="","",INDEX(Workers!$D:$D,ROW()))</f>
        <v/>
      </c>
      <c r="D16" s="22" t="str">
        <f>IF(INDEX(Workers!$E:$E,ROW())="","",INDEX(Workers!$E:$E,ROW()))</f>
        <v/>
      </c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4" t="str">
        <f t="shared" si="0"/>
        <v/>
      </c>
      <c r="AK16" s="24" t="str">
        <f t="shared" si="1"/>
        <v/>
      </c>
      <c r="AL16" s="25" t="str">
        <f>IF(B16="","",AJ16*N(D16)+AK16*N(D16)/Setup!$B$6*Setup!$B$7)</f>
        <v/>
      </c>
      <c r="AM16" s="25" t="str">
        <f>IF(B16="","",SUMIFS(Payments!$D$5:$D$304,Payments!$B$5:$B$304,A16,Payments!$A$5:$A$304,"&gt;="&amp;DATE(Setup!$B$4,8,1),Payments!$A$5:$A$304,"&lt;="&amp;EOMONTH(DATE(Setup!$B$4,8,1),0)))</f>
        <v/>
      </c>
      <c r="AN16" s="25" t="str">
        <f t="shared" si="2"/>
        <v/>
      </c>
    </row>
    <row r="17" spans="1:40" x14ac:dyDescent="0.3">
      <c r="A17" s="14" t="str">
        <f>IF(INDEX(Workers!$B:$B,ROW())="","",INDEX(Workers!$B:$B,ROW()))</f>
        <v/>
      </c>
      <c r="B17" s="21" t="str">
        <f>IF(INDEX(Workers!$C:$C,ROW())="","",INDEX(Workers!$C:$C,ROW()))</f>
        <v/>
      </c>
      <c r="C17" s="21" t="str">
        <f>IF(INDEX(Workers!$D:$D,ROW())="","",INDEX(Workers!$D:$D,ROW()))</f>
        <v/>
      </c>
      <c r="D17" s="22" t="str">
        <f>IF(INDEX(Workers!$E:$E,ROW())="","",INDEX(Workers!$E:$E,ROW()))</f>
        <v/>
      </c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4" t="str">
        <f t="shared" si="0"/>
        <v/>
      </c>
      <c r="AK17" s="24" t="str">
        <f t="shared" si="1"/>
        <v/>
      </c>
      <c r="AL17" s="25" t="str">
        <f>IF(B17="","",AJ17*N(D17)+AK17*N(D17)/Setup!$B$6*Setup!$B$7)</f>
        <v/>
      </c>
      <c r="AM17" s="25" t="str">
        <f>IF(B17="","",SUMIFS(Payments!$D$5:$D$304,Payments!$B$5:$B$304,A17,Payments!$A$5:$A$304,"&gt;="&amp;DATE(Setup!$B$4,8,1),Payments!$A$5:$A$304,"&lt;="&amp;EOMONTH(DATE(Setup!$B$4,8,1),0)))</f>
        <v/>
      </c>
      <c r="AN17" s="25" t="str">
        <f t="shared" si="2"/>
        <v/>
      </c>
    </row>
    <row r="18" spans="1:40" x14ac:dyDescent="0.3">
      <c r="A18" s="14" t="str">
        <f>IF(INDEX(Workers!$B:$B,ROW())="","",INDEX(Workers!$B:$B,ROW()))</f>
        <v/>
      </c>
      <c r="B18" s="21" t="str">
        <f>IF(INDEX(Workers!$C:$C,ROW())="","",INDEX(Workers!$C:$C,ROW()))</f>
        <v/>
      </c>
      <c r="C18" s="21" t="str">
        <f>IF(INDEX(Workers!$D:$D,ROW())="","",INDEX(Workers!$D:$D,ROW()))</f>
        <v/>
      </c>
      <c r="D18" s="22" t="str">
        <f>IF(INDEX(Workers!$E:$E,ROW())="","",INDEX(Workers!$E:$E,ROW()))</f>
        <v/>
      </c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4" t="str">
        <f t="shared" si="0"/>
        <v/>
      </c>
      <c r="AK18" s="24" t="str">
        <f t="shared" si="1"/>
        <v/>
      </c>
      <c r="AL18" s="25" t="str">
        <f>IF(B18="","",AJ18*N(D18)+AK18*N(D18)/Setup!$B$6*Setup!$B$7)</f>
        <v/>
      </c>
      <c r="AM18" s="25" t="str">
        <f>IF(B18="","",SUMIFS(Payments!$D$5:$D$304,Payments!$B$5:$B$304,A18,Payments!$A$5:$A$304,"&gt;="&amp;DATE(Setup!$B$4,8,1),Payments!$A$5:$A$304,"&lt;="&amp;EOMONTH(DATE(Setup!$B$4,8,1),0)))</f>
        <v/>
      </c>
      <c r="AN18" s="25" t="str">
        <f t="shared" si="2"/>
        <v/>
      </c>
    </row>
    <row r="19" spans="1:40" x14ac:dyDescent="0.3">
      <c r="A19" s="14" t="str">
        <f>IF(INDEX(Workers!$B:$B,ROW())="","",INDEX(Workers!$B:$B,ROW()))</f>
        <v/>
      </c>
      <c r="B19" s="21" t="str">
        <f>IF(INDEX(Workers!$C:$C,ROW())="","",INDEX(Workers!$C:$C,ROW()))</f>
        <v/>
      </c>
      <c r="C19" s="21" t="str">
        <f>IF(INDEX(Workers!$D:$D,ROW())="","",INDEX(Workers!$D:$D,ROW()))</f>
        <v/>
      </c>
      <c r="D19" s="22" t="str">
        <f>IF(INDEX(Workers!$E:$E,ROW())="","",INDEX(Workers!$E:$E,ROW()))</f>
        <v/>
      </c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4" t="str">
        <f t="shared" si="0"/>
        <v/>
      </c>
      <c r="AK19" s="24" t="str">
        <f t="shared" si="1"/>
        <v/>
      </c>
      <c r="AL19" s="25" t="str">
        <f>IF(B19="","",AJ19*N(D19)+AK19*N(D19)/Setup!$B$6*Setup!$B$7)</f>
        <v/>
      </c>
      <c r="AM19" s="25" t="str">
        <f>IF(B19="","",SUMIFS(Payments!$D$5:$D$304,Payments!$B$5:$B$304,A19,Payments!$A$5:$A$304,"&gt;="&amp;DATE(Setup!$B$4,8,1),Payments!$A$5:$A$304,"&lt;="&amp;EOMONTH(DATE(Setup!$B$4,8,1),0)))</f>
        <v/>
      </c>
      <c r="AN19" s="25" t="str">
        <f t="shared" si="2"/>
        <v/>
      </c>
    </row>
    <row r="20" spans="1:40" x14ac:dyDescent="0.3">
      <c r="A20" s="14" t="str">
        <f>IF(INDEX(Workers!$B:$B,ROW())="","",INDEX(Workers!$B:$B,ROW()))</f>
        <v/>
      </c>
      <c r="B20" s="21" t="str">
        <f>IF(INDEX(Workers!$C:$C,ROW())="","",INDEX(Workers!$C:$C,ROW()))</f>
        <v/>
      </c>
      <c r="C20" s="21" t="str">
        <f>IF(INDEX(Workers!$D:$D,ROW())="","",INDEX(Workers!$D:$D,ROW()))</f>
        <v/>
      </c>
      <c r="D20" s="22" t="str">
        <f>IF(INDEX(Workers!$E:$E,ROW())="","",INDEX(Workers!$E:$E,ROW()))</f>
        <v/>
      </c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4" t="str">
        <f t="shared" si="0"/>
        <v/>
      </c>
      <c r="AK20" s="24" t="str">
        <f t="shared" si="1"/>
        <v/>
      </c>
      <c r="AL20" s="25" t="str">
        <f>IF(B20="","",AJ20*N(D20)+AK20*N(D20)/Setup!$B$6*Setup!$B$7)</f>
        <v/>
      </c>
      <c r="AM20" s="25" t="str">
        <f>IF(B20="","",SUMIFS(Payments!$D$5:$D$304,Payments!$B$5:$B$304,A20,Payments!$A$5:$A$304,"&gt;="&amp;DATE(Setup!$B$4,8,1),Payments!$A$5:$A$304,"&lt;="&amp;EOMONTH(DATE(Setup!$B$4,8,1),0)))</f>
        <v/>
      </c>
      <c r="AN20" s="25" t="str">
        <f t="shared" si="2"/>
        <v/>
      </c>
    </row>
    <row r="21" spans="1:40" x14ac:dyDescent="0.3">
      <c r="A21" s="14" t="str">
        <f>IF(INDEX(Workers!$B:$B,ROW())="","",INDEX(Workers!$B:$B,ROW()))</f>
        <v/>
      </c>
      <c r="B21" s="21" t="str">
        <f>IF(INDEX(Workers!$C:$C,ROW())="","",INDEX(Workers!$C:$C,ROW()))</f>
        <v/>
      </c>
      <c r="C21" s="21" t="str">
        <f>IF(INDEX(Workers!$D:$D,ROW())="","",INDEX(Workers!$D:$D,ROW()))</f>
        <v/>
      </c>
      <c r="D21" s="22" t="str">
        <f>IF(INDEX(Workers!$E:$E,ROW())="","",INDEX(Workers!$E:$E,ROW()))</f>
        <v/>
      </c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4" t="str">
        <f t="shared" si="0"/>
        <v/>
      </c>
      <c r="AK21" s="24" t="str">
        <f t="shared" si="1"/>
        <v/>
      </c>
      <c r="AL21" s="25" t="str">
        <f>IF(B21="","",AJ21*N(D21)+AK21*N(D21)/Setup!$B$6*Setup!$B$7)</f>
        <v/>
      </c>
      <c r="AM21" s="25" t="str">
        <f>IF(B21="","",SUMIFS(Payments!$D$5:$D$304,Payments!$B$5:$B$304,A21,Payments!$A$5:$A$304,"&gt;="&amp;DATE(Setup!$B$4,8,1),Payments!$A$5:$A$304,"&lt;="&amp;EOMONTH(DATE(Setup!$B$4,8,1),0)))</f>
        <v/>
      </c>
      <c r="AN21" s="25" t="str">
        <f t="shared" si="2"/>
        <v/>
      </c>
    </row>
    <row r="22" spans="1:40" x14ac:dyDescent="0.3">
      <c r="A22" s="14" t="str">
        <f>IF(INDEX(Workers!$B:$B,ROW())="","",INDEX(Workers!$B:$B,ROW()))</f>
        <v/>
      </c>
      <c r="B22" s="21" t="str">
        <f>IF(INDEX(Workers!$C:$C,ROW())="","",INDEX(Workers!$C:$C,ROW()))</f>
        <v/>
      </c>
      <c r="C22" s="21" t="str">
        <f>IF(INDEX(Workers!$D:$D,ROW())="","",INDEX(Workers!$D:$D,ROW()))</f>
        <v/>
      </c>
      <c r="D22" s="22" t="str">
        <f>IF(INDEX(Workers!$E:$E,ROW())="","",INDEX(Workers!$E:$E,ROW()))</f>
        <v/>
      </c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4" t="str">
        <f t="shared" si="0"/>
        <v/>
      </c>
      <c r="AK22" s="24" t="str">
        <f t="shared" si="1"/>
        <v/>
      </c>
      <c r="AL22" s="25" t="str">
        <f>IF(B22="","",AJ22*N(D22)+AK22*N(D22)/Setup!$B$6*Setup!$B$7)</f>
        <v/>
      </c>
      <c r="AM22" s="25" t="str">
        <f>IF(B22="","",SUMIFS(Payments!$D$5:$D$304,Payments!$B$5:$B$304,A22,Payments!$A$5:$A$304,"&gt;="&amp;DATE(Setup!$B$4,8,1),Payments!$A$5:$A$304,"&lt;="&amp;EOMONTH(DATE(Setup!$B$4,8,1),0)))</f>
        <v/>
      </c>
      <c r="AN22" s="25" t="str">
        <f t="shared" si="2"/>
        <v/>
      </c>
    </row>
    <row r="23" spans="1:40" x14ac:dyDescent="0.3">
      <c r="A23" s="14" t="str">
        <f>IF(INDEX(Workers!$B:$B,ROW())="","",INDEX(Workers!$B:$B,ROW()))</f>
        <v/>
      </c>
      <c r="B23" s="21" t="str">
        <f>IF(INDEX(Workers!$C:$C,ROW())="","",INDEX(Workers!$C:$C,ROW()))</f>
        <v/>
      </c>
      <c r="C23" s="21" t="str">
        <f>IF(INDEX(Workers!$D:$D,ROW())="","",INDEX(Workers!$D:$D,ROW()))</f>
        <v/>
      </c>
      <c r="D23" s="22" t="str">
        <f>IF(INDEX(Workers!$E:$E,ROW())="","",INDEX(Workers!$E:$E,ROW()))</f>
        <v/>
      </c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4" t="str">
        <f t="shared" si="0"/>
        <v/>
      </c>
      <c r="AK23" s="24" t="str">
        <f t="shared" si="1"/>
        <v/>
      </c>
      <c r="AL23" s="25" t="str">
        <f>IF(B23="","",AJ23*N(D23)+AK23*N(D23)/Setup!$B$6*Setup!$B$7)</f>
        <v/>
      </c>
      <c r="AM23" s="25" t="str">
        <f>IF(B23="","",SUMIFS(Payments!$D$5:$D$304,Payments!$B$5:$B$304,A23,Payments!$A$5:$A$304,"&gt;="&amp;DATE(Setup!$B$4,8,1),Payments!$A$5:$A$304,"&lt;="&amp;EOMONTH(DATE(Setup!$B$4,8,1),0)))</f>
        <v/>
      </c>
      <c r="AN23" s="25" t="str">
        <f t="shared" si="2"/>
        <v/>
      </c>
    </row>
    <row r="24" spans="1:40" x14ac:dyDescent="0.3">
      <c r="A24" s="14" t="str">
        <f>IF(INDEX(Workers!$B:$B,ROW())="","",INDEX(Workers!$B:$B,ROW()))</f>
        <v/>
      </c>
      <c r="B24" s="21" t="str">
        <f>IF(INDEX(Workers!$C:$C,ROW())="","",INDEX(Workers!$C:$C,ROW()))</f>
        <v/>
      </c>
      <c r="C24" s="21" t="str">
        <f>IF(INDEX(Workers!$D:$D,ROW())="","",INDEX(Workers!$D:$D,ROW()))</f>
        <v/>
      </c>
      <c r="D24" s="22" t="str">
        <f>IF(INDEX(Workers!$E:$E,ROW())="","",INDEX(Workers!$E:$E,ROW()))</f>
        <v/>
      </c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4" t="str">
        <f t="shared" si="0"/>
        <v/>
      </c>
      <c r="AK24" s="24" t="str">
        <f t="shared" si="1"/>
        <v/>
      </c>
      <c r="AL24" s="25" t="str">
        <f>IF(B24="","",AJ24*N(D24)+AK24*N(D24)/Setup!$B$6*Setup!$B$7)</f>
        <v/>
      </c>
      <c r="AM24" s="25" t="str">
        <f>IF(B24="","",SUMIFS(Payments!$D$5:$D$304,Payments!$B$5:$B$304,A24,Payments!$A$5:$A$304,"&gt;="&amp;DATE(Setup!$B$4,8,1),Payments!$A$5:$A$304,"&lt;="&amp;EOMONTH(DATE(Setup!$B$4,8,1),0)))</f>
        <v/>
      </c>
      <c r="AN24" s="25" t="str">
        <f t="shared" si="2"/>
        <v/>
      </c>
    </row>
    <row r="25" spans="1:40" x14ac:dyDescent="0.3">
      <c r="A25" s="14" t="str">
        <f>IF(INDEX(Workers!$B:$B,ROW())="","",INDEX(Workers!$B:$B,ROW()))</f>
        <v/>
      </c>
      <c r="B25" s="21" t="str">
        <f>IF(INDEX(Workers!$C:$C,ROW())="","",INDEX(Workers!$C:$C,ROW()))</f>
        <v/>
      </c>
      <c r="C25" s="21" t="str">
        <f>IF(INDEX(Workers!$D:$D,ROW())="","",INDEX(Workers!$D:$D,ROW()))</f>
        <v/>
      </c>
      <c r="D25" s="22" t="str">
        <f>IF(INDEX(Workers!$E:$E,ROW())="","",INDEX(Workers!$E:$E,ROW()))</f>
        <v/>
      </c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4" t="str">
        <f t="shared" si="0"/>
        <v/>
      </c>
      <c r="AK25" s="24" t="str">
        <f t="shared" si="1"/>
        <v/>
      </c>
      <c r="AL25" s="25" t="str">
        <f>IF(B25="","",AJ25*N(D25)+AK25*N(D25)/Setup!$B$6*Setup!$B$7)</f>
        <v/>
      </c>
      <c r="AM25" s="25" t="str">
        <f>IF(B25="","",SUMIFS(Payments!$D$5:$D$304,Payments!$B$5:$B$304,A25,Payments!$A$5:$A$304,"&gt;="&amp;DATE(Setup!$B$4,8,1),Payments!$A$5:$A$304,"&lt;="&amp;EOMONTH(DATE(Setup!$B$4,8,1),0)))</f>
        <v/>
      </c>
      <c r="AN25" s="25" t="str">
        <f t="shared" si="2"/>
        <v/>
      </c>
    </row>
    <row r="26" spans="1:40" x14ac:dyDescent="0.3">
      <c r="A26" s="14" t="str">
        <f>IF(INDEX(Workers!$B:$B,ROW())="","",INDEX(Workers!$B:$B,ROW()))</f>
        <v/>
      </c>
      <c r="B26" s="21" t="str">
        <f>IF(INDEX(Workers!$C:$C,ROW())="","",INDEX(Workers!$C:$C,ROW()))</f>
        <v/>
      </c>
      <c r="C26" s="21" t="str">
        <f>IF(INDEX(Workers!$D:$D,ROW())="","",INDEX(Workers!$D:$D,ROW()))</f>
        <v/>
      </c>
      <c r="D26" s="22" t="str">
        <f>IF(INDEX(Workers!$E:$E,ROW())="","",INDEX(Workers!$E:$E,ROW()))</f>
        <v/>
      </c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4" t="str">
        <f t="shared" si="0"/>
        <v/>
      </c>
      <c r="AK26" s="24" t="str">
        <f t="shared" si="1"/>
        <v/>
      </c>
      <c r="AL26" s="25" t="str">
        <f>IF(B26="","",AJ26*N(D26)+AK26*N(D26)/Setup!$B$6*Setup!$B$7)</f>
        <v/>
      </c>
      <c r="AM26" s="25" t="str">
        <f>IF(B26="","",SUMIFS(Payments!$D$5:$D$304,Payments!$B$5:$B$304,A26,Payments!$A$5:$A$304,"&gt;="&amp;DATE(Setup!$B$4,8,1),Payments!$A$5:$A$304,"&lt;="&amp;EOMONTH(DATE(Setup!$B$4,8,1),0)))</f>
        <v/>
      </c>
      <c r="AN26" s="25" t="str">
        <f t="shared" si="2"/>
        <v/>
      </c>
    </row>
    <row r="27" spans="1:40" x14ac:dyDescent="0.3">
      <c r="A27" s="14" t="str">
        <f>IF(INDEX(Workers!$B:$B,ROW())="","",INDEX(Workers!$B:$B,ROW()))</f>
        <v/>
      </c>
      <c r="B27" s="21" t="str">
        <f>IF(INDEX(Workers!$C:$C,ROW())="","",INDEX(Workers!$C:$C,ROW()))</f>
        <v/>
      </c>
      <c r="C27" s="21" t="str">
        <f>IF(INDEX(Workers!$D:$D,ROW())="","",INDEX(Workers!$D:$D,ROW()))</f>
        <v/>
      </c>
      <c r="D27" s="22" t="str">
        <f>IF(INDEX(Workers!$E:$E,ROW())="","",INDEX(Workers!$E:$E,ROW()))</f>
        <v/>
      </c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4" t="str">
        <f t="shared" si="0"/>
        <v/>
      </c>
      <c r="AK27" s="24" t="str">
        <f t="shared" si="1"/>
        <v/>
      </c>
      <c r="AL27" s="25" t="str">
        <f>IF(B27="","",AJ27*N(D27)+AK27*N(D27)/Setup!$B$6*Setup!$B$7)</f>
        <v/>
      </c>
      <c r="AM27" s="25" t="str">
        <f>IF(B27="","",SUMIFS(Payments!$D$5:$D$304,Payments!$B$5:$B$304,A27,Payments!$A$5:$A$304,"&gt;="&amp;DATE(Setup!$B$4,8,1),Payments!$A$5:$A$304,"&lt;="&amp;EOMONTH(DATE(Setup!$B$4,8,1),0)))</f>
        <v/>
      </c>
      <c r="AN27" s="25" t="str">
        <f t="shared" si="2"/>
        <v/>
      </c>
    </row>
    <row r="28" spans="1:40" x14ac:dyDescent="0.3">
      <c r="A28" s="14" t="str">
        <f>IF(INDEX(Workers!$B:$B,ROW())="","",INDEX(Workers!$B:$B,ROW()))</f>
        <v/>
      </c>
      <c r="B28" s="21" t="str">
        <f>IF(INDEX(Workers!$C:$C,ROW())="","",INDEX(Workers!$C:$C,ROW()))</f>
        <v/>
      </c>
      <c r="C28" s="21" t="str">
        <f>IF(INDEX(Workers!$D:$D,ROW())="","",INDEX(Workers!$D:$D,ROW()))</f>
        <v/>
      </c>
      <c r="D28" s="22" t="str">
        <f>IF(INDEX(Workers!$E:$E,ROW())="","",INDEX(Workers!$E:$E,ROW()))</f>
        <v/>
      </c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4" t="str">
        <f t="shared" si="0"/>
        <v/>
      </c>
      <c r="AK28" s="24" t="str">
        <f t="shared" si="1"/>
        <v/>
      </c>
      <c r="AL28" s="25" t="str">
        <f>IF(B28="","",AJ28*N(D28)+AK28*N(D28)/Setup!$B$6*Setup!$B$7)</f>
        <v/>
      </c>
      <c r="AM28" s="25" t="str">
        <f>IF(B28="","",SUMIFS(Payments!$D$5:$D$304,Payments!$B$5:$B$304,A28,Payments!$A$5:$A$304,"&gt;="&amp;DATE(Setup!$B$4,8,1),Payments!$A$5:$A$304,"&lt;="&amp;EOMONTH(DATE(Setup!$B$4,8,1),0)))</f>
        <v/>
      </c>
      <c r="AN28" s="25" t="str">
        <f t="shared" si="2"/>
        <v/>
      </c>
    </row>
    <row r="29" spans="1:40" x14ac:dyDescent="0.3">
      <c r="A29" s="14" t="str">
        <f>IF(INDEX(Workers!$B:$B,ROW())="","",INDEX(Workers!$B:$B,ROW()))</f>
        <v/>
      </c>
      <c r="B29" s="21" t="str">
        <f>IF(INDEX(Workers!$C:$C,ROW())="","",INDEX(Workers!$C:$C,ROW()))</f>
        <v/>
      </c>
      <c r="C29" s="21" t="str">
        <f>IF(INDEX(Workers!$D:$D,ROW())="","",INDEX(Workers!$D:$D,ROW()))</f>
        <v/>
      </c>
      <c r="D29" s="22" t="str">
        <f>IF(INDEX(Workers!$E:$E,ROW())="","",INDEX(Workers!$E:$E,ROW()))</f>
        <v/>
      </c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4" t="str">
        <f t="shared" si="0"/>
        <v/>
      </c>
      <c r="AK29" s="24" t="str">
        <f t="shared" si="1"/>
        <v/>
      </c>
      <c r="AL29" s="25" t="str">
        <f>IF(B29="","",AJ29*N(D29)+AK29*N(D29)/Setup!$B$6*Setup!$B$7)</f>
        <v/>
      </c>
      <c r="AM29" s="25" t="str">
        <f>IF(B29="","",SUMIFS(Payments!$D$5:$D$304,Payments!$B$5:$B$304,A29,Payments!$A$5:$A$304,"&gt;="&amp;DATE(Setup!$B$4,8,1),Payments!$A$5:$A$304,"&lt;="&amp;EOMONTH(DATE(Setup!$B$4,8,1),0)))</f>
        <v/>
      </c>
      <c r="AN29" s="25" t="str">
        <f t="shared" si="2"/>
        <v/>
      </c>
    </row>
    <row r="30" spans="1:40" x14ac:dyDescent="0.3">
      <c r="A30" s="14" t="str">
        <f>IF(INDEX(Workers!$B:$B,ROW())="","",INDEX(Workers!$B:$B,ROW()))</f>
        <v/>
      </c>
      <c r="B30" s="21" t="str">
        <f>IF(INDEX(Workers!$C:$C,ROW())="","",INDEX(Workers!$C:$C,ROW()))</f>
        <v/>
      </c>
      <c r="C30" s="21" t="str">
        <f>IF(INDEX(Workers!$D:$D,ROW())="","",INDEX(Workers!$D:$D,ROW()))</f>
        <v/>
      </c>
      <c r="D30" s="22" t="str">
        <f>IF(INDEX(Workers!$E:$E,ROW())="","",INDEX(Workers!$E:$E,ROW()))</f>
        <v/>
      </c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4" t="str">
        <f t="shared" si="0"/>
        <v/>
      </c>
      <c r="AK30" s="24" t="str">
        <f t="shared" si="1"/>
        <v/>
      </c>
      <c r="AL30" s="25" t="str">
        <f>IF(B30="","",AJ30*N(D30)+AK30*N(D30)/Setup!$B$6*Setup!$B$7)</f>
        <v/>
      </c>
      <c r="AM30" s="25" t="str">
        <f>IF(B30="","",SUMIFS(Payments!$D$5:$D$304,Payments!$B$5:$B$304,A30,Payments!$A$5:$A$304,"&gt;="&amp;DATE(Setup!$B$4,8,1),Payments!$A$5:$A$304,"&lt;="&amp;EOMONTH(DATE(Setup!$B$4,8,1),0)))</f>
        <v/>
      </c>
      <c r="AN30" s="25" t="str">
        <f t="shared" si="2"/>
        <v/>
      </c>
    </row>
    <row r="31" spans="1:40" x14ac:dyDescent="0.3">
      <c r="A31" s="14" t="str">
        <f>IF(INDEX(Workers!$B:$B,ROW())="","",INDEX(Workers!$B:$B,ROW()))</f>
        <v/>
      </c>
      <c r="B31" s="21" t="str">
        <f>IF(INDEX(Workers!$C:$C,ROW())="","",INDEX(Workers!$C:$C,ROW()))</f>
        <v/>
      </c>
      <c r="C31" s="21" t="str">
        <f>IF(INDEX(Workers!$D:$D,ROW())="","",INDEX(Workers!$D:$D,ROW()))</f>
        <v/>
      </c>
      <c r="D31" s="22" t="str">
        <f>IF(INDEX(Workers!$E:$E,ROW())="","",INDEX(Workers!$E:$E,ROW()))</f>
        <v/>
      </c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4" t="str">
        <f t="shared" si="0"/>
        <v/>
      </c>
      <c r="AK31" s="24" t="str">
        <f t="shared" si="1"/>
        <v/>
      </c>
      <c r="AL31" s="25" t="str">
        <f>IF(B31="","",AJ31*N(D31)+AK31*N(D31)/Setup!$B$6*Setup!$B$7)</f>
        <v/>
      </c>
      <c r="AM31" s="25" t="str">
        <f>IF(B31="","",SUMIFS(Payments!$D$5:$D$304,Payments!$B$5:$B$304,A31,Payments!$A$5:$A$304,"&gt;="&amp;DATE(Setup!$B$4,8,1),Payments!$A$5:$A$304,"&lt;="&amp;EOMONTH(DATE(Setup!$B$4,8,1),0)))</f>
        <v/>
      </c>
      <c r="AN31" s="25" t="str">
        <f t="shared" si="2"/>
        <v/>
      </c>
    </row>
    <row r="32" spans="1:40" x14ac:dyDescent="0.3">
      <c r="A32" s="14" t="str">
        <f>IF(INDEX(Workers!$B:$B,ROW())="","",INDEX(Workers!$B:$B,ROW()))</f>
        <v/>
      </c>
      <c r="B32" s="21" t="str">
        <f>IF(INDEX(Workers!$C:$C,ROW())="","",INDEX(Workers!$C:$C,ROW()))</f>
        <v/>
      </c>
      <c r="C32" s="21" t="str">
        <f>IF(INDEX(Workers!$D:$D,ROW())="","",INDEX(Workers!$D:$D,ROW()))</f>
        <v/>
      </c>
      <c r="D32" s="22" t="str">
        <f>IF(INDEX(Workers!$E:$E,ROW())="","",INDEX(Workers!$E:$E,ROW()))</f>
        <v/>
      </c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4" t="str">
        <f t="shared" si="0"/>
        <v/>
      </c>
      <c r="AK32" s="24" t="str">
        <f t="shared" si="1"/>
        <v/>
      </c>
      <c r="AL32" s="25" t="str">
        <f>IF(B32="","",AJ32*N(D32)+AK32*N(D32)/Setup!$B$6*Setup!$B$7)</f>
        <v/>
      </c>
      <c r="AM32" s="25" t="str">
        <f>IF(B32="","",SUMIFS(Payments!$D$5:$D$304,Payments!$B$5:$B$304,A32,Payments!$A$5:$A$304,"&gt;="&amp;DATE(Setup!$B$4,8,1),Payments!$A$5:$A$304,"&lt;="&amp;EOMONTH(DATE(Setup!$B$4,8,1),0)))</f>
        <v/>
      </c>
      <c r="AN32" s="25" t="str">
        <f t="shared" si="2"/>
        <v/>
      </c>
    </row>
    <row r="33" spans="1:40" x14ac:dyDescent="0.3">
      <c r="A33" s="14" t="str">
        <f>IF(INDEX(Workers!$B:$B,ROW())="","",INDEX(Workers!$B:$B,ROW()))</f>
        <v/>
      </c>
      <c r="B33" s="21" t="str">
        <f>IF(INDEX(Workers!$C:$C,ROW())="","",INDEX(Workers!$C:$C,ROW()))</f>
        <v/>
      </c>
      <c r="C33" s="21" t="str">
        <f>IF(INDEX(Workers!$D:$D,ROW())="","",INDEX(Workers!$D:$D,ROW()))</f>
        <v/>
      </c>
      <c r="D33" s="22" t="str">
        <f>IF(INDEX(Workers!$E:$E,ROW())="","",INDEX(Workers!$E:$E,ROW()))</f>
        <v/>
      </c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4" t="str">
        <f t="shared" si="0"/>
        <v/>
      </c>
      <c r="AK33" s="24" t="str">
        <f t="shared" si="1"/>
        <v/>
      </c>
      <c r="AL33" s="25" t="str">
        <f>IF(B33="","",AJ33*N(D33)+AK33*N(D33)/Setup!$B$6*Setup!$B$7)</f>
        <v/>
      </c>
      <c r="AM33" s="25" t="str">
        <f>IF(B33="","",SUMIFS(Payments!$D$5:$D$304,Payments!$B$5:$B$304,A33,Payments!$A$5:$A$304,"&gt;="&amp;DATE(Setup!$B$4,8,1),Payments!$A$5:$A$304,"&lt;="&amp;EOMONTH(DATE(Setup!$B$4,8,1),0)))</f>
        <v/>
      </c>
      <c r="AN33" s="25" t="str">
        <f t="shared" si="2"/>
        <v/>
      </c>
    </row>
    <row r="34" spans="1:40" x14ac:dyDescent="0.3">
      <c r="A34" s="14" t="str">
        <f>IF(INDEX(Workers!$B:$B,ROW())="","",INDEX(Workers!$B:$B,ROW()))</f>
        <v/>
      </c>
      <c r="B34" s="21" t="str">
        <f>IF(INDEX(Workers!$C:$C,ROW())="","",INDEX(Workers!$C:$C,ROW()))</f>
        <v/>
      </c>
      <c r="C34" s="21" t="str">
        <f>IF(INDEX(Workers!$D:$D,ROW())="","",INDEX(Workers!$D:$D,ROW()))</f>
        <v/>
      </c>
      <c r="D34" s="22" t="str">
        <f>IF(INDEX(Workers!$E:$E,ROW())="","",INDEX(Workers!$E:$E,ROW()))</f>
        <v/>
      </c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4" t="str">
        <f t="shared" si="0"/>
        <v/>
      </c>
      <c r="AK34" s="24" t="str">
        <f t="shared" si="1"/>
        <v/>
      </c>
      <c r="AL34" s="25" t="str">
        <f>IF(B34="","",AJ34*N(D34)+AK34*N(D34)/Setup!$B$6*Setup!$B$7)</f>
        <v/>
      </c>
      <c r="AM34" s="25" t="str">
        <f>IF(B34="","",SUMIFS(Payments!$D$5:$D$304,Payments!$B$5:$B$304,A34,Payments!$A$5:$A$304,"&gt;="&amp;DATE(Setup!$B$4,8,1),Payments!$A$5:$A$304,"&lt;="&amp;EOMONTH(DATE(Setup!$B$4,8,1),0)))</f>
        <v/>
      </c>
      <c r="AN34" s="25" t="str">
        <f t="shared" si="2"/>
        <v/>
      </c>
    </row>
    <row r="35" spans="1:40" x14ac:dyDescent="0.3">
      <c r="A35" s="14" t="str">
        <f>IF(INDEX(Workers!$B:$B,ROW())="","",INDEX(Workers!$B:$B,ROW()))</f>
        <v/>
      </c>
      <c r="B35" s="21" t="str">
        <f>IF(INDEX(Workers!$C:$C,ROW())="","",INDEX(Workers!$C:$C,ROW()))</f>
        <v/>
      </c>
      <c r="C35" s="21" t="str">
        <f>IF(INDEX(Workers!$D:$D,ROW())="","",INDEX(Workers!$D:$D,ROW()))</f>
        <v/>
      </c>
      <c r="D35" s="22" t="str">
        <f>IF(INDEX(Workers!$E:$E,ROW())="","",INDEX(Workers!$E:$E,ROW()))</f>
        <v/>
      </c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4" t="str">
        <f t="shared" si="0"/>
        <v/>
      </c>
      <c r="AK35" s="24" t="str">
        <f t="shared" si="1"/>
        <v/>
      </c>
      <c r="AL35" s="25" t="str">
        <f>IF(B35="","",AJ35*N(D35)+AK35*N(D35)/Setup!$B$6*Setup!$B$7)</f>
        <v/>
      </c>
      <c r="AM35" s="25" t="str">
        <f>IF(B35="","",SUMIFS(Payments!$D$5:$D$304,Payments!$B$5:$B$304,A35,Payments!$A$5:$A$304,"&gt;="&amp;DATE(Setup!$B$4,8,1),Payments!$A$5:$A$304,"&lt;="&amp;EOMONTH(DATE(Setup!$B$4,8,1),0)))</f>
        <v/>
      </c>
      <c r="AN35" s="25" t="str">
        <f t="shared" si="2"/>
        <v/>
      </c>
    </row>
    <row r="36" spans="1:40" x14ac:dyDescent="0.3">
      <c r="A36" s="14" t="str">
        <f>IF(INDEX(Workers!$B:$B,ROW())="","",INDEX(Workers!$B:$B,ROW()))</f>
        <v/>
      </c>
      <c r="B36" s="21" t="str">
        <f>IF(INDEX(Workers!$C:$C,ROW())="","",INDEX(Workers!$C:$C,ROW()))</f>
        <v/>
      </c>
      <c r="C36" s="21" t="str">
        <f>IF(INDEX(Workers!$D:$D,ROW())="","",INDEX(Workers!$D:$D,ROW()))</f>
        <v/>
      </c>
      <c r="D36" s="22" t="str">
        <f>IF(INDEX(Workers!$E:$E,ROW())="","",INDEX(Workers!$E:$E,ROW()))</f>
        <v/>
      </c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4" t="str">
        <f t="shared" si="0"/>
        <v/>
      </c>
      <c r="AK36" s="24" t="str">
        <f t="shared" si="1"/>
        <v/>
      </c>
      <c r="AL36" s="25" t="str">
        <f>IF(B36="","",AJ36*N(D36)+AK36*N(D36)/Setup!$B$6*Setup!$B$7)</f>
        <v/>
      </c>
      <c r="AM36" s="25" t="str">
        <f>IF(B36="","",SUMIFS(Payments!$D$5:$D$304,Payments!$B$5:$B$304,A36,Payments!$A$5:$A$304,"&gt;="&amp;DATE(Setup!$B$4,8,1),Payments!$A$5:$A$304,"&lt;="&amp;EOMONTH(DATE(Setup!$B$4,8,1),0)))</f>
        <v/>
      </c>
      <c r="AN36" s="25" t="str">
        <f t="shared" si="2"/>
        <v/>
      </c>
    </row>
    <row r="37" spans="1:40" x14ac:dyDescent="0.3">
      <c r="A37" s="14" t="str">
        <f>IF(INDEX(Workers!$B:$B,ROW())="","",INDEX(Workers!$B:$B,ROW()))</f>
        <v/>
      </c>
      <c r="B37" s="21" t="str">
        <f>IF(INDEX(Workers!$C:$C,ROW())="","",INDEX(Workers!$C:$C,ROW()))</f>
        <v/>
      </c>
      <c r="C37" s="21" t="str">
        <f>IF(INDEX(Workers!$D:$D,ROW())="","",INDEX(Workers!$D:$D,ROW()))</f>
        <v/>
      </c>
      <c r="D37" s="22" t="str">
        <f>IF(INDEX(Workers!$E:$E,ROW())="","",INDEX(Workers!$E:$E,ROW()))</f>
        <v/>
      </c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4" t="str">
        <f t="shared" si="0"/>
        <v/>
      </c>
      <c r="AK37" s="24" t="str">
        <f t="shared" si="1"/>
        <v/>
      </c>
      <c r="AL37" s="25" t="str">
        <f>IF(B37="","",AJ37*N(D37)+AK37*N(D37)/Setup!$B$6*Setup!$B$7)</f>
        <v/>
      </c>
      <c r="AM37" s="25" t="str">
        <f>IF(B37="","",SUMIFS(Payments!$D$5:$D$304,Payments!$B$5:$B$304,A37,Payments!$A$5:$A$304,"&gt;="&amp;DATE(Setup!$B$4,8,1),Payments!$A$5:$A$304,"&lt;="&amp;EOMONTH(DATE(Setup!$B$4,8,1),0)))</f>
        <v/>
      </c>
      <c r="AN37" s="25" t="str">
        <f t="shared" si="2"/>
        <v/>
      </c>
    </row>
    <row r="38" spans="1:40" x14ac:dyDescent="0.3">
      <c r="A38" s="14" t="str">
        <f>IF(INDEX(Workers!$B:$B,ROW())="","",INDEX(Workers!$B:$B,ROW()))</f>
        <v/>
      </c>
      <c r="B38" s="21" t="str">
        <f>IF(INDEX(Workers!$C:$C,ROW())="","",INDEX(Workers!$C:$C,ROW()))</f>
        <v/>
      </c>
      <c r="C38" s="21" t="str">
        <f>IF(INDEX(Workers!$D:$D,ROW())="","",INDEX(Workers!$D:$D,ROW()))</f>
        <v/>
      </c>
      <c r="D38" s="22" t="str">
        <f>IF(INDEX(Workers!$E:$E,ROW())="","",INDEX(Workers!$E:$E,ROW()))</f>
        <v/>
      </c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4" t="str">
        <f t="shared" si="0"/>
        <v/>
      </c>
      <c r="AK38" s="24" t="str">
        <f t="shared" si="1"/>
        <v/>
      </c>
      <c r="AL38" s="25" t="str">
        <f>IF(B38="","",AJ38*N(D38)+AK38*N(D38)/Setup!$B$6*Setup!$B$7)</f>
        <v/>
      </c>
      <c r="AM38" s="25" t="str">
        <f>IF(B38="","",SUMIFS(Payments!$D$5:$D$304,Payments!$B$5:$B$304,A38,Payments!$A$5:$A$304,"&gt;="&amp;DATE(Setup!$B$4,8,1),Payments!$A$5:$A$304,"&lt;="&amp;EOMONTH(DATE(Setup!$B$4,8,1),0)))</f>
        <v/>
      </c>
      <c r="AN38" s="25" t="str">
        <f t="shared" si="2"/>
        <v/>
      </c>
    </row>
    <row r="39" spans="1:40" x14ac:dyDescent="0.3">
      <c r="A39" s="14" t="str">
        <f>IF(INDEX(Workers!$B:$B,ROW())="","",INDEX(Workers!$B:$B,ROW()))</f>
        <v/>
      </c>
      <c r="B39" s="21" t="str">
        <f>IF(INDEX(Workers!$C:$C,ROW())="","",INDEX(Workers!$C:$C,ROW()))</f>
        <v/>
      </c>
      <c r="C39" s="21" t="str">
        <f>IF(INDEX(Workers!$D:$D,ROW())="","",INDEX(Workers!$D:$D,ROW()))</f>
        <v/>
      </c>
      <c r="D39" s="22" t="str">
        <f>IF(INDEX(Workers!$E:$E,ROW())="","",INDEX(Workers!$E:$E,ROW()))</f>
        <v/>
      </c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4" t="str">
        <f t="shared" si="0"/>
        <v/>
      </c>
      <c r="AK39" s="24" t="str">
        <f t="shared" si="1"/>
        <v/>
      </c>
      <c r="AL39" s="25" t="str">
        <f>IF(B39="","",AJ39*N(D39)+AK39*N(D39)/Setup!$B$6*Setup!$B$7)</f>
        <v/>
      </c>
      <c r="AM39" s="25" t="str">
        <f>IF(B39="","",SUMIFS(Payments!$D$5:$D$304,Payments!$B$5:$B$304,A39,Payments!$A$5:$A$304,"&gt;="&amp;DATE(Setup!$B$4,8,1),Payments!$A$5:$A$304,"&lt;="&amp;EOMONTH(DATE(Setup!$B$4,8,1),0)))</f>
        <v/>
      </c>
      <c r="AN39" s="25" t="str">
        <f t="shared" si="2"/>
        <v/>
      </c>
    </row>
    <row r="40" spans="1:40" x14ac:dyDescent="0.3">
      <c r="A40" s="14" t="str">
        <f>IF(INDEX(Workers!$B:$B,ROW())="","",INDEX(Workers!$B:$B,ROW()))</f>
        <v/>
      </c>
      <c r="B40" s="21" t="str">
        <f>IF(INDEX(Workers!$C:$C,ROW())="","",INDEX(Workers!$C:$C,ROW()))</f>
        <v/>
      </c>
      <c r="C40" s="21" t="str">
        <f>IF(INDEX(Workers!$D:$D,ROW())="","",INDEX(Workers!$D:$D,ROW()))</f>
        <v/>
      </c>
      <c r="D40" s="22" t="str">
        <f>IF(INDEX(Workers!$E:$E,ROW())="","",INDEX(Workers!$E:$E,ROW()))</f>
        <v/>
      </c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4" t="str">
        <f t="shared" si="0"/>
        <v/>
      </c>
      <c r="AK40" s="24" t="str">
        <f t="shared" si="1"/>
        <v/>
      </c>
      <c r="AL40" s="25" t="str">
        <f>IF(B40="","",AJ40*N(D40)+AK40*N(D40)/Setup!$B$6*Setup!$B$7)</f>
        <v/>
      </c>
      <c r="AM40" s="25" t="str">
        <f>IF(B40="","",SUMIFS(Payments!$D$5:$D$304,Payments!$B$5:$B$304,A40,Payments!$A$5:$A$304,"&gt;="&amp;DATE(Setup!$B$4,8,1),Payments!$A$5:$A$304,"&lt;="&amp;EOMONTH(DATE(Setup!$B$4,8,1),0)))</f>
        <v/>
      </c>
      <c r="AN40" s="25" t="str">
        <f t="shared" si="2"/>
        <v/>
      </c>
    </row>
    <row r="41" spans="1:40" x14ac:dyDescent="0.3">
      <c r="A41" s="14" t="str">
        <f>IF(INDEX(Workers!$B:$B,ROW())="","",INDEX(Workers!$B:$B,ROW()))</f>
        <v/>
      </c>
      <c r="B41" s="21" t="str">
        <f>IF(INDEX(Workers!$C:$C,ROW())="","",INDEX(Workers!$C:$C,ROW()))</f>
        <v/>
      </c>
      <c r="C41" s="21" t="str">
        <f>IF(INDEX(Workers!$D:$D,ROW())="","",INDEX(Workers!$D:$D,ROW()))</f>
        <v/>
      </c>
      <c r="D41" s="22" t="str">
        <f>IF(INDEX(Workers!$E:$E,ROW())="","",INDEX(Workers!$E:$E,ROW()))</f>
        <v/>
      </c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4" t="str">
        <f t="shared" si="0"/>
        <v/>
      </c>
      <c r="AK41" s="24" t="str">
        <f t="shared" si="1"/>
        <v/>
      </c>
      <c r="AL41" s="25" t="str">
        <f>IF(B41="","",AJ41*N(D41)+AK41*N(D41)/Setup!$B$6*Setup!$B$7)</f>
        <v/>
      </c>
      <c r="AM41" s="25" t="str">
        <f>IF(B41="","",SUMIFS(Payments!$D$5:$D$304,Payments!$B$5:$B$304,A41,Payments!$A$5:$A$304,"&gt;="&amp;DATE(Setup!$B$4,8,1),Payments!$A$5:$A$304,"&lt;="&amp;EOMONTH(DATE(Setup!$B$4,8,1),0)))</f>
        <v/>
      </c>
      <c r="AN41" s="25" t="str">
        <f t="shared" si="2"/>
        <v/>
      </c>
    </row>
    <row r="42" spans="1:40" x14ac:dyDescent="0.3">
      <c r="A42" s="14" t="str">
        <f>IF(INDEX(Workers!$B:$B,ROW())="","",INDEX(Workers!$B:$B,ROW()))</f>
        <v/>
      </c>
      <c r="B42" s="21" t="str">
        <f>IF(INDEX(Workers!$C:$C,ROW())="","",INDEX(Workers!$C:$C,ROW()))</f>
        <v/>
      </c>
      <c r="C42" s="21" t="str">
        <f>IF(INDEX(Workers!$D:$D,ROW())="","",INDEX(Workers!$D:$D,ROW()))</f>
        <v/>
      </c>
      <c r="D42" s="22" t="str">
        <f>IF(INDEX(Workers!$E:$E,ROW())="","",INDEX(Workers!$E:$E,ROW()))</f>
        <v/>
      </c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4" t="str">
        <f t="shared" si="0"/>
        <v/>
      </c>
      <c r="AK42" s="24" t="str">
        <f t="shared" si="1"/>
        <v/>
      </c>
      <c r="AL42" s="25" t="str">
        <f>IF(B42="","",AJ42*N(D42)+AK42*N(D42)/Setup!$B$6*Setup!$B$7)</f>
        <v/>
      </c>
      <c r="AM42" s="25" t="str">
        <f>IF(B42="","",SUMIFS(Payments!$D$5:$D$304,Payments!$B$5:$B$304,A42,Payments!$A$5:$A$304,"&gt;="&amp;DATE(Setup!$B$4,8,1),Payments!$A$5:$A$304,"&lt;="&amp;EOMONTH(DATE(Setup!$B$4,8,1),0)))</f>
        <v/>
      </c>
      <c r="AN42" s="25" t="str">
        <f t="shared" si="2"/>
        <v/>
      </c>
    </row>
    <row r="43" spans="1:40" x14ac:dyDescent="0.3">
      <c r="A43" s="14" t="str">
        <f>IF(INDEX(Workers!$B:$B,ROW())="","",INDEX(Workers!$B:$B,ROW()))</f>
        <v/>
      </c>
      <c r="B43" s="21" t="str">
        <f>IF(INDEX(Workers!$C:$C,ROW())="","",INDEX(Workers!$C:$C,ROW()))</f>
        <v/>
      </c>
      <c r="C43" s="21" t="str">
        <f>IF(INDEX(Workers!$D:$D,ROW())="","",INDEX(Workers!$D:$D,ROW()))</f>
        <v/>
      </c>
      <c r="D43" s="22" t="str">
        <f>IF(INDEX(Workers!$E:$E,ROW())="","",INDEX(Workers!$E:$E,ROW()))</f>
        <v/>
      </c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4" t="str">
        <f t="shared" si="0"/>
        <v/>
      </c>
      <c r="AK43" s="24" t="str">
        <f t="shared" si="1"/>
        <v/>
      </c>
      <c r="AL43" s="25" t="str">
        <f>IF(B43="","",AJ43*N(D43)+AK43*N(D43)/Setup!$B$6*Setup!$B$7)</f>
        <v/>
      </c>
      <c r="AM43" s="25" t="str">
        <f>IF(B43="","",SUMIFS(Payments!$D$5:$D$304,Payments!$B$5:$B$304,A43,Payments!$A$5:$A$304,"&gt;="&amp;DATE(Setup!$B$4,8,1),Payments!$A$5:$A$304,"&lt;="&amp;EOMONTH(DATE(Setup!$B$4,8,1),0)))</f>
        <v/>
      </c>
      <c r="AN43" s="25" t="str">
        <f t="shared" si="2"/>
        <v/>
      </c>
    </row>
    <row r="44" spans="1:40" x14ac:dyDescent="0.3">
      <c r="A44" s="14" t="str">
        <f>IF(INDEX(Workers!$B:$B,ROW())="","",INDEX(Workers!$B:$B,ROW()))</f>
        <v/>
      </c>
      <c r="B44" s="21" t="str">
        <f>IF(INDEX(Workers!$C:$C,ROW())="","",INDEX(Workers!$C:$C,ROW()))</f>
        <v/>
      </c>
      <c r="C44" s="21" t="str">
        <f>IF(INDEX(Workers!$D:$D,ROW())="","",INDEX(Workers!$D:$D,ROW()))</f>
        <v/>
      </c>
      <c r="D44" s="22" t="str">
        <f>IF(INDEX(Workers!$E:$E,ROW())="","",INDEX(Workers!$E:$E,ROW()))</f>
        <v/>
      </c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4" t="str">
        <f t="shared" si="0"/>
        <v/>
      </c>
      <c r="AK44" s="24" t="str">
        <f t="shared" si="1"/>
        <v/>
      </c>
      <c r="AL44" s="25" t="str">
        <f>IF(B44="","",AJ44*N(D44)+AK44*N(D44)/Setup!$B$6*Setup!$B$7)</f>
        <v/>
      </c>
      <c r="AM44" s="25" t="str">
        <f>IF(B44="","",SUMIFS(Payments!$D$5:$D$304,Payments!$B$5:$B$304,A44,Payments!$A$5:$A$304,"&gt;="&amp;DATE(Setup!$B$4,8,1),Payments!$A$5:$A$304,"&lt;="&amp;EOMONTH(DATE(Setup!$B$4,8,1),0)))</f>
        <v/>
      </c>
      <c r="AN44" s="25" t="str">
        <f t="shared" si="2"/>
        <v/>
      </c>
    </row>
    <row r="45" spans="1:40" x14ac:dyDescent="0.3">
      <c r="A45" s="26"/>
      <c r="B45" s="26" t="s">
        <v>88</v>
      </c>
      <c r="C45" s="26"/>
      <c r="D45" s="26"/>
      <c r="E45" s="27">
        <f t="shared" ref="E45:AI45" si="3">IF(E$3="","",COUNTIF(E5:E44,"P")+COUNTIF(E5:E44,"H")+COUNT(E5:E44))</f>
        <v>0</v>
      </c>
      <c r="F45" s="27">
        <f t="shared" si="3"/>
        <v>0</v>
      </c>
      <c r="G45" s="27">
        <f t="shared" si="3"/>
        <v>0</v>
      </c>
      <c r="H45" s="27">
        <f t="shared" si="3"/>
        <v>0</v>
      </c>
      <c r="I45" s="27">
        <f t="shared" si="3"/>
        <v>0</v>
      </c>
      <c r="J45" s="27">
        <f t="shared" si="3"/>
        <v>0</v>
      </c>
      <c r="K45" s="27">
        <f t="shared" si="3"/>
        <v>0</v>
      </c>
      <c r="L45" s="27">
        <f t="shared" si="3"/>
        <v>0</v>
      </c>
      <c r="M45" s="27">
        <f t="shared" si="3"/>
        <v>0</v>
      </c>
      <c r="N45" s="27">
        <f t="shared" si="3"/>
        <v>0</v>
      </c>
      <c r="O45" s="27">
        <f t="shared" si="3"/>
        <v>0</v>
      </c>
      <c r="P45" s="27">
        <f t="shared" si="3"/>
        <v>0</v>
      </c>
      <c r="Q45" s="27">
        <f t="shared" si="3"/>
        <v>0</v>
      </c>
      <c r="R45" s="27">
        <f t="shared" si="3"/>
        <v>0</v>
      </c>
      <c r="S45" s="27">
        <f t="shared" si="3"/>
        <v>0</v>
      </c>
      <c r="T45" s="27">
        <f t="shared" si="3"/>
        <v>0</v>
      </c>
      <c r="U45" s="27">
        <f t="shared" si="3"/>
        <v>0</v>
      </c>
      <c r="V45" s="27">
        <f t="shared" si="3"/>
        <v>0</v>
      </c>
      <c r="W45" s="27">
        <f t="shared" si="3"/>
        <v>0</v>
      </c>
      <c r="X45" s="27">
        <f t="shared" si="3"/>
        <v>0</v>
      </c>
      <c r="Y45" s="27">
        <f t="shared" si="3"/>
        <v>0</v>
      </c>
      <c r="Z45" s="27">
        <f t="shared" si="3"/>
        <v>0</v>
      </c>
      <c r="AA45" s="27">
        <f t="shared" si="3"/>
        <v>0</v>
      </c>
      <c r="AB45" s="27">
        <f t="shared" si="3"/>
        <v>0</v>
      </c>
      <c r="AC45" s="27">
        <f t="shared" si="3"/>
        <v>0</v>
      </c>
      <c r="AD45" s="27">
        <f t="shared" si="3"/>
        <v>0</v>
      </c>
      <c r="AE45" s="27">
        <f t="shared" si="3"/>
        <v>0</v>
      </c>
      <c r="AF45" s="27">
        <f t="shared" si="3"/>
        <v>0</v>
      </c>
      <c r="AG45" s="27">
        <f t="shared" si="3"/>
        <v>0</v>
      </c>
      <c r="AH45" s="27">
        <f t="shared" si="3"/>
        <v>0</v>
      </c>
      <c r="AI45" s="27">
        <f t="shared" si="3"/>
        <v>0</v>
      </c>
      <c r="AJ45" s="28">
        <f>SUM(AJ5:AJ44)</f>
        <v>0</v>
      </c>
      <c r="AK45" s="28">
        <f>SUM(AK5:AK44)</f>
        <v>0</v>
      </c>
      <c r="AL45" s="29">
        <f>SUM(AL5:AL44)</f>
        <v>0</v>
      </c>
      <c r="AM45" s="29">
        <f>SUM(AM5:AM44)</f>
        <v>0</v>
      </c>
      <c r="AN45" s="29">
        <f>SUM(AN5:AN44)</f>
        <v>0</v>
      </c>
    </row>
  </sheetData>
  <conditionalFormatting sqref="E3:AI3">
    <cfRule type="expression" dxfId="34" priority="2">
      <formula>E$3="Sun"</formula>
    </cfRule>
  </conditionalFormatting>
  <conditionalFormatting sqref="E3:AI45">
    <cfRule type="expression" dxfId="33" priority="1">
      <formula>E$3=""</formula>
    </cfRule>
  </conditionalFormatting>
  <conditionalFormatting sqref="E5:AI44">
    <cfRule type="expression" dxfId="32" priority="6">
      <formula>E5="A"</formula>
    </cfRule>
    <cfRule type="expression" dxfId="31" priority="7">
      <formula>E5="H"</formula>
    </cfRule>
    <cfRule type="expression" dxfId="30" priority="8">
      <formula>ISNUMBER(E5)</formula>
    </cfRule>
  </conditionalFormatting>
  <conditionalFormatting sqref="E5:AI45">
    <cfRule type="expression" dxfId="29" priority="4">
      <formula>E$3="Sun"</formula>
    </cfRule>
  </conditionalFormatting>
  <conditionalFormatting sqref="AN5:AN44">
    <cfRule type="expression" dxfId="28" priority="9">
      <formula>AN5&lt;0</formula>
    </cfRule>
  </conditionalFormatting>
  <dataValidations count="1">
    <dataValidation type="custom" allowBlank="1" showErrorMessage="1" errorTitle="Attendance code" error="Type P, H, A, L, or the number of overtime hours (0 to 12). Shaded days do not exist in this month." sqref="E5:AI44" xr:uid="{00000000-0002-0000-0A00-000000000000}">
      <formula1>AND(E$3&lt;&gt;"",OR(E5="P",E5="H",E5="A",E5="L",AND(ISNUMBER(E5),E5&gt;=0,E5&lt;=12)))</formula1>
    </dataValidation>
  </dataValidations>
  <printOptions horizontalCentered="1"/>
  <pageMargins left="0.45" right="0.45" top="0.6" bottom="0.6" header="0.3" footer="0.3"/>
  <pageSetup paperSize="9" scale="66" orientation="landscape" r:id="rId1"/>
  <headerFooter>
    <oddFooter>&amp;L&amp;8Free from NirmanDost - nirmandost.in - sign up for more free tools&amp;R&amp;8Page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N45"/>
  <sheetViews>
    <sheetView showGridLines="0" workbookViewId="0">
      <pane xSplit="4" ySplit="4" topLeftCell="E5" activePane="bottomRight" state="frozen"/>
      <selection pane="topRight"/>
      <selection pane="bottomLeft"/>
      <selection pane="bottomRight"/>
    </sheetView>
  </sheetViews>
  <sheetFormatPr defaultRowHeight="14.4" x14ac:dyDescent="0.3"/>
  <cols>
    <col min="1" max="1" width="7" customWidth="1"/>
    <col min="2" max="2" width="24" customWidth="1"/>
    <col min="3" max="3" width="11" customWidth="1"/>
    <col min="4" max="4" width="9" customWidth="1"/>
    <col min="5" max="35" width="3.5546875" customWidth="1"/>
    <col min="36" max="37" width="6.44140625" customWidth="1"/>
    <col min="38" max="38" width="12" customWidth="1"/>
    <col min="39" max="40" width="11" customWidth="1"/>
  </cols>
  <sheetData>
    <row r="1" spans="1:40" ht="17.399999999999999" x14ac:dyDescent="0.3">
      <c r="A1" s="18" t="str">
        <f>"Attendance - "&amp;TEXT(DATE(Setup!$B$4,9,1),"mmmm yyyy")&amp;"   "&amp;Setup!$B$5</f>
        <v>Attendance - September 2026   Type the site name</v>
      </c>
    </row>
    <row r="2" spans="1:40" x14ac:dyDescent="0.3">
      <c r="A2" s="19" t="s">
        <v>49</v>
      </c>
    </row>
    <row r="3" spans="1:40" x14ac:dyDescent="0.3">
      <c r="E3" s="20" t="str">
        <f>IF(1&gt;DAY(EOMONTH(DATE(Setup!$B$4,9,1),0)),"",TEXT(DATE(Setup!$B$4,9,1),"ddd"))</f>
        <v>Tue</v>
      </c>
      <c r="F3" s="20" t="str">
        <f>IF(2&gt;DAY(EOMONTH(DATE(Setup!$B$4,9,1),0)),"",TEXT(DATE(Setup!$B$4,9,2),"ddd"))</f>
        <v>Wed</v>
      </c>
      <c r="G3" s="20" t="str">
        <f>IF(3&gt;DAY(EOMONTH(DATE(Setup!$B$4,9,1),0)),"",TEXT(DATE(Setup!$B$4,9,3),"ddd"))</f>
        <v>Thu</v>
      </c>
      <c r="H3" s="20" t="str">
        <f>IF(4&gt;DAY(EOMONTH(DATE(Setup!$B$4,9,1),0)),"",TEXT(DATE(Setup!$B$4,9,4),"ddd"))</f>
        <v>Fri</v>
      </c>
      <c r="I3" s="20" t="str">
        <f>IF(5&gt;DAY(EOMONTH(DATE(Setup!$B$4,9,1),0)),"",TEXT(DATE(Setup!$B$4,9,5),"ddd"))</f>
        <v>Sat</v>
      </c>
      <c r="J3" s="20" t="str">
        <f>IF(6&gt;DAY(EOMONTH(DATE(Setup!$B$4,9,1),0)),"",TEXT(DATE(Setup!$B$4,9,6),"ddd"))</f>
        <v>Sun</v>
      </c>
      <c r="K3" s="20" t="str">
        <f>IF(7&gt;DAY(EOMONTH(DATE(Setup!$B$4,9,1),0)),"",TEXT(DATE(Setup!$B$4,9,7),"ddd"))</f>
        <v>Mon</v>
      </c>
      <c r="L3" s="20" t="str">
        <f>IF(8&gt;DAY(EOMONTH(DATE(Setup!$B$4,9,1),0)),"",TEXT(DATE(Setup!$B$4,9,8),"ddd"))</f>
        <v>Tue</v>
      </c>
      <c r="M3" s="20" t="str">
        <f>IF(9&gt;DAY(EOMONTH(DATE(Setup!$B$4,9,1),0)),"",TEXT(DATE(Setup!$B$4,9,9),"ddd"))</f>
        <v>Wed</v>
      </c>
      <c r="N3" s="20" t="str">
        <f>IF(10&gt;DAY(EOMONTH(DATE(Setup!$B$4,9,1),0)),"",TEXT(DATE(Setup!$B$4,9,10),"ddd"))</f>
        <v>Thu</v>
      </c>
      <c r="O3" s="20" t="str">
        <f>IF(11&gt;DAY(EOMONTH(DATE(Setup!$B$4,9,1),0)),"",TEXT(DATE(Setup!$B$4,9,11),"ddd"))</f>
        <v>Fri</v>
      </c>
      <c r="P3" s="20" t="str">
        <f>IF(12&gt;DAY(EOMONTH(DATE(Setup!$B$4,9,1),0)),"",TEXT(DATE(Setup!$B$4,9,12),"ddd"))</f>
        <v>Sat</v>
      </c>
      <c r="Q3" s="20" t="str">
        <f>IF(13&gt;DAY(EOMONTH(DATE(Setup!$B$4,9,1),0)),"",TEXT(DATE(Setup!$B$4,9,13),"ddd"))</f>
        <v>Sun</v>
      </c>
      <c r="R3" s="20" t="str">
        <f>IF(14&gt;DAY(EOMONTH(DATE(Setup!$B$4,9,1),0)),"",TEXT(DATE(Setup!$B$4,9,14),"ddd"))</f>
        <v>Mon</v>
      </c>
      <c r="S3" s="20" t="str">
        <f>IF(15&gt;DAY(EOMONTH(DATE(Setup!$B$4,9,1),0)),"",TEXT(DATE(Setup!$B$4,9,15),"ddd"))</f>
        <v>Tue</v>
      </c>
      <c r="T3" s="20" t="str">
        <f>IF(16&gt;DAY(EOMONTH(DATE(Setup!$B$4,9,1),0)),"",TEXT(DATE(Setup!$B$4,9,16),"ddd"))</f>
        <v>Wed</v>
      </c>
      <c r="U3" s="20" t="str">
        <f>IF(17&gt;DAY(EOMONTH(DATE(Setup!$B$4,9,1),0)),"",TEXT(DATE(Setup!$B$4,9,17),"ddd"))</f>
        <v>Thu</v>
      </c>
      <c r="V3" s="20" t="str">
        <f>IF(18&gt;DAY(EOMONTH(DATE(Setup!$B$4,9,1),0)),"",TEXT(DATE(Setup!$B$4,9,18),"ddd"))</f>
        <v>Fri</v>
      </c>
      <c r="W3" s="20" t="str">
        <f>IF(19&gt;DAY(EOMONTH(DATE(Setup!$B$4,9,1),0)),"",TEXT(DATE(Setup!$B$4,9,19),"ddd"))</f>
        <v>Sat</v>
      </c>
      <c r="X3" s="20" t="str">
        <f>IF(20&gt;DAY(EOMONTH(DATE(Setup!$B$4,9,1),0)),"",TEXT(DATE(Setup!$B$4,9,20),"ddd"))</f>
        <v>Sun</v>
      </c>
      <c r="Y3" s="20" t="str">
        <f>IF(21&gt;DAY(EOMONTH(DATE(Setup!$B$4,9,1),0)),"",TEXT(DATE(Setup!$B$4,9,21),"ddd"))</f>
        <v>Mon</v>
      </c>
      <c r="Z3" s="20" t="str">
        <f>IF(22&gt;DAY(EOMONTH(DATE(Setup!$B$4,9,1),0)),"",TEXT(DATE(Setup!$B$4,9,22),"ddd"))</f>
        <v>Tue</v>
      </c>
      <c r="AA3" s="20" t="str">
        <f>IF(23&gt;DAY(EOMONTH(DATE(Setup!$B$4,9,1),0)),"",TEXT(DATE(Setup!$B$4,9,23),"ddd"))</f>
        <v>Wed</v>
      </c>
      <c r="AB3" s="20" t="str">
        <f>IF(24&gt;DAY(EOMONTH(DATE(Setup!$B$4,9,1),0)),"",TEXT(DATE(Setup!$B$4,9,24),"ddd"))</f>
        <v>Thu</v>
      </c>
      <c r="AC3" s="20" t="str">
        <f>IF(25&gt;DAY(EOMONTH(DATE(Setup!$B$4,9,1),0)),"",TEXT(DATE(Setup!$B$4,9,25),"ddd"))</f>
        <v>Fri</v>
      </c>
      <c r="AD3" s="20" t="str">
        <f>IF(26&gt;DAY(EOMONTH(DATE(Setup!$B$4,9,1),0)),"",TEXT(DATE(Setup!$B$4,9,26),"ddd"))</f>
        <v>Sat</v>
      </c>
      <c r="AE3" s="20" t="str">
        <f>IF(27&gt;DAY(EOMONTH(DATE(Setup!$B$4,9,1),0)),"",TEXT(DATE(Setup!$B$4,9,27),"ddd"))</f>
        <v>Sun</v>
      </c>
      <c r="AF3" s="20" t="str">
        <f>IF(28&gt;DAY(EOMONTH(DATE(Setup!$B$4,9,1),0)),"",TEXT(DATE(Setup!$B$4,9,28),"ddd"))</f>
        <v>Mon</v>
      </c>
      <c r="AG3" s="20" t="str">
        <f>IF(29&gt;DAY(EOMONTH(DATE(Setup!$B$4,9,1),0)),"",TEXT(DATE(Setup!$B$4,9,29),"ddd"))</f>
        <v>Tue</v>
      </c>
      <c r="AH3" s="20" t="str">
        <f>IF(30&gt;DAY(EOMONTH(DATE(Setup!$B$4,9,1),0)),"",TEXT(DATE(Setup!$B$4,9,30),"ddd"))</f>
        <v>Wed</v>
      </c>
      <c r="AI3" s="20" t="str">
        <f>IF(31&gt;DAY(EOMONTH(DATE(Setup!$B$4,9,1),0)),"",TEXT(DATE(Setup!$B$4,9,31),"ddd"))</f>
        <v/>
      </c>
    </row>
    <row r="4" spans="1:40" ht="28.05" customHeight="1" x14ac:dyDescent="0.3">
      <c r="A4" s="13" t="s">
        <v>50</v>
      </c>
      <c r="B4" s="13" t="s">
        <v>37</v>
      </c>
      <c r="C4" s="13" t="s">
        <v>38</v>
      </c>
      <c r="D4" s="13" t="s">
        <v>51</v>
      </c>
      <c r="E4" s="13" t="s">
        <v>52</v>
      </c>
      <c r="F4" s="13" t="s">
        <v>53</v>
      </c>
      <c r="G4" s="13" t="s">
        <v>54</v>
      </c>
      <c r="H4" s="13" t="s">
        <v>55</v>
      </c>
      <c r="I4" s="13" t="s">
        <v>56</v>
      </c>
      <c r="J4" s="13" t="s">
        <v>57</v>
      </c>
      <c r="K4" s="13" t="s">
        <v>58</v>
      </c>
      <c r="L4" s="13" t="s">
        <v>59</v>
      </c>
      <c r="M4" s="13" t="s">
        <v>60</v>
      </c>
      <c r="N4" s="13" t="s">
        <v>61</v>
      </c>
      <c r="O4" s="13" t="s">
        <v>62</v>
      </c>
      <c r="P4" s="13" t="s">
        <v>63</v>
      </c>
      <c r="Q4" s="13" t="s">
        <v>64</v>
      </c>
      <c r="R4" s="13" t="s">
        <v>65</v>
      </c>
      <c r="S4" s="13" t="s">
        <v>66</v>
      </c>
      <c r="T4" s="13" t="s">
        <v>67</v>
      </c>
      <c r="U4" s="13" t="s">
        <v>68</v>
      </c>
      <c r="V4" s="13" t="s">
        <v>69</v>
      </c>
      <c r="W4" s="13" t="s">
        <v>70</v>
      </c>
      <c r="X4" s="13" t="s">
        <v>71</v>
      </c>
      <c r="Y4" s="13" t="s">
        <v>72</v>
      </c>
      <c r="Z4" s="13" t="s">
        <v>73</v>
      </c>
      <c r="AA4" s="13" t="s">
        <v>74</v>
      </c>
      <c r="AB4" s="13" t="s">
        <v>75</v>
      </c>
      <c r="AC4" s="13" t="s">
        <v>76</v>
      </c>
      <c r="AD4" s="13" t="s">
        <v>77</v>
      </c>
      <c r="AE4" s="13" t="s">
        <v>78</v>
      </c>
      <c r="AF4" s="13" t="s">
        <v>79</v>
      </c>
      <c r="AG4" s="13" t="s">
        <v>80</v>
      </c>
      <c r="AH4" s="13" t="s">
        <v>81</v>
      </c>
      <c r="AI4" s="13" t="s">
        <v>82</v>
      </c>
      <c r="AJ4" s="13" t="s">
        <v>83</v>
      </c>
      <c r="AK4" s="13" t="s">
        <v>84</v>
      </c>
      <c r="AL4" s="13" t="s">
        <v>85</v>
      </c>
      <c r="AM4" s="13" t="s">
        <v>86</v>
      </c>
      <c r="AN4" s="13" t="s">
        <v>87</v>
      </c>
    </row>
    <row r="5" spans="1:40" x14ac:dyDescent="0.3">
      <c r="A5" s="14" t="str">
        <f>IF(INDEX(Workers!$B:$B,ROW())="","",INDEX(Workers!$B:$B,ROW()))</f>
        <v>W-01</v>
      </c>
      <c r="B5" s="21" t="str">
        <f>IF(INDEX(Workers!$C:$C,ROW())="","",INDEX(Workers!$C:$C,ROW()))</f>
        <v>Ramesh (EXAMPLE, clear me)</v>
      </c>
      <c r="C5" s="21" t="str">
        <f>IF(INDEX(Workers!$D:$D,ROW())="","",INDEX(Workers!$D:$D,ROW()))</f>
        <v>Mason</v>
      </c>
      <c r="D5" s="22">
        <f>IF(INDEX(Workers!$E:$E,ROW())="","",INDEX(Workers!$E:$E,ROW()))</f>
        <v>900</v>
      </c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4">
        <f t="shared" ref="AJ5:AJ44" si="0">IF(B5="","",SUMPRODUCT((E$3:AI$3&lt;&gt;"")*(E5:AI5="P"))+0.5*SUMPRODUCT((E$3:AI$3&lt;&gt;"")*(E5:AI5="H"))+SUMPRODUCT((E$3:AI$3&lt;&gt;"")*ISNUMBER(E5:AI5)))</f>
        <v>0</v>
      </c>
      <c r="AK5" s="24">
        <f t="shared" ref="AK5:AK44" si="1">IF(B5="","",SUMPRODUCT((E$3:AI$3&lt;&gt;"")*ISNUMBER(E5:AI5),E5:AI5))</f>
        <v>0</v>
      </c>
      <c r="AL5" s="25">
        <f>IF(B5="","",AJ5*N(D5)+AK5*N(D5)/Setup!$B$6*Setup!$B$7)</f>
        <v>0</v>
      </c>
      <c r="AM5" s="25">
        <f>IF(B5="","",SUMIFS(Payments!$D$5:$D$304,Payments!$B$5:$B$304,A5,Payments!$A$5:$A$304,"&gt;="&amp;DATE(Setup!$B$4,9,1),Payments!$A$5:$A$304,"&lt;="&amp;EOMONTH(DATE(Setup!$B$4,9,1),0)))</f>
        <v>0</v>
      </c>
      <c r="AN5" s="25">
        <f t="shared" ref="AN5:AN44" si="2">IF(B5="","",AL5-AM5)</f>
        <v>0</v>
      </c>
    </row>
    <row r="6" spans="1:40" x14ac:dyDescent="0.3">
      <c r="A6" s="14" t="str">
        <f>IF(INDEX(Workers!$B:$B,ROW())="","",INDEX(Workers!$B:$B,ROW()))</f>
        <v/>
      </c>
      <c r="B6" s="21" t="str">
        <f>IF(INDEX(Workers!$C:$C,ROW())="","",INDEX(Workers!$C:$C,ROW()))</f>
        <v/>
      </c>
      <c r="C6" s="21" t="str">
        <f>IF(INDEX(Workers!$D:$D,ROW())="","",INDEX(Workers!$D:$D,ROW()))</f>
        <v/>
      </c>
      <c r="D6" s="22" t="str">
        <f>IF(INDEX(Workers!$E:$E,ROW())="","",INDEX(Workers!$E:$E,ROW()))</f>
        <v/>
      </c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4" t="str">
        <f t="shared" si="0"/>
        <v/>
      </c>
      <c r="AK6" s="24" t="str">
        <f t="shared" si="1"/>
        <v/>
      </c>
      <c r="AL6" s="25" t="str">
        <f>IF(B6="","",AJ6*N(D6)+AK6*N(D6)/Setup!$B$6*Setup!$B$7)</f>
        <v/>
      </c>
      <c r="AM6" s="25" t="str">
        <f>IF(B6="","",SUMIFS(Payments!$D$5:$D$304,Payments!$B$5:$B$304,A6,Payments!$A$5:$A$304,"&gt;="&amp;DATE(Setup!$B$4,9,1),Payments!$A$5:$A$304,"&lt;="&amp;EOMONTH(DATE(Setup!$B$4,9,1),0)))</f>
        <v/>
      </c>
      <c r="AN6" s="25" t="str">
        <f t="shared" si="2"/>
        <v/>
      </c>
    </row>
    <row r="7" spans="1:40" x14ac:dyDescent="0.3">
      <c r="A7" s="14" t="str">
        <f>IF(INDEX(Workers!$B:$B,ROW())="","",INDEX(Workers!$B:$B,ROW()))</f>
        <v/>
      </c>
      <c r="B7" s="21" t="str">
        <f>IF(INDEX(Workers!$C:$C,ROW())="","",INDEX(Workers!$C:$C,ROW()))</f>
        <v/>
      </c>
      <c r="C7" s="21" t="str">
        <f>IF(INDEX(Workers!$D:$D,ROW())="","",INDEX(Workers!$D:$D,ROW()))</f>
        <v/>
      </c>
      <c r="D7" s="22" t="str">
        <f>IF(INDEX(Workers!$E:$E,ROW())="","",INDEX(Workers!$E:$E,ROW()))</f>
        <v/>
      </c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4" t="str">
        <f t="shared" si="0"/>
        <v/>
      </c>
      <c r="AK7" s="24" t="str">
        <f t="shared" si="1"/>
        <v/>
      </c>
      <c r="AL7" s="25" t="str">
        <f>IF(B7="","",AJ7*N(D7)+AK7*N(D7)/Setup!$B$6*Setup!$B$7)</f>
        <v/>
      </c>
      <c r="AM7" s="25" t="str">
        <f>IF(B7="","",SUMIFS(Payments!$D$5:$D$304,Payments!$B$5:$B$304,A7,Payments!$A$5:$A$304,"&gt;="&amp;DATE(Setup!$B$4,9,1),Payments!$A$5:$A$304,"&lt;="&amp;EOMONTH(DATE(Setup!$B$4,9,1),0)))</f>
        <v/>
      </c>
      <c r="AN7" s="25" t="str">
        <f t="shared" si="2"/>
        <v/>
      </c>
    </row>
    <row r="8" spans="1:40" x14ac:dyDescent="0.3">
      <c r="A8" s="14" t="str">
        <f>IF(INDEX(Workers!$B:$B,ROW())="","",INDEX(Workers!$B:$B,ROW()))</f>
        <v/>
      </c>
      <c r="B8" s="21" t="str">
        <f>IF(INDEX(Workers!$C:$C,ROW())="","",INDEX(Workers!$C:$C,ROW()))</f>
        <v/>
      </c>
      <c r="C8" s="21" t="str">
        <f>IF(INDEX(Workers!$D:$D,ROW())="","",INDEX(Workers!$D:$D,ROW()))</f>
        <v/>
      </c>
      <c r="D8" s="22" t="str">
        <f>IF(INDEX(Workers!$E:$E,ROW())="","",INDEX(Workers!$E:$E,ROW()))</f>
        <v/>
      </c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4" t="str">
        <f t="shared" si="0"/>
        <v/>
      </c>
      <c r="AK8" s="24" t="str">
        <f t="shared" si="1"/>
        <v/>
      </c>
      <c r="AL8" s="25" t="str">
        <f>IF(B8="","",AJ8*N(D8)+AK8*N(D8)/Setup!$B$6*Setup!$B$7)</f>
        <v/>
      </c>
      <c r="AM8" s="25" t="str">
        <f>IF(B8="","",SUMIFS(Payments!$D$5:$D$304,Payments!$B$5:$B$304,A8,Payments!$A$5:$A$304,"&gt;="&amp;DATE(Setup!$B$4,9,1),Payments!$A$5:$A$304,"&lt;="&amp;EOMONTH(DATE(Setup!$B$4,9,1),0)))</f>
        <v/>
      </c>
      <c r="AN8" s="25" t="str">
        <f t="shared" si="2"/>
        <v/>
      </c>
    </row>
    <row r="9" spans="1:40" x14ac:dyDescent="0.3">
      <c r="A9" s="14" t="str">
        <f>IF(INDEX(Workers!$B:$B,ROW())="","",INDEX(Workers!$B:$B,ROW()))</f>
        <v/>
      </c>
      <c r="B9" s="21" t="str">
        <f>IF(INDEX(Workers!$C:$C,ROW())="","",INDEX(Workers!$C:$C,ROW()))</f>
        <v/>
      </c>
      <c r="C9" s="21" t="str">
        <f>IF(INDEX(Workers!$D:$D,ROW())="","",INDEX(Workers!$D:$D,ROW()))</f>
        <v/>
      </c>
      <c r="D9" s="22" t="str">
        <f>IF(INDEX(Workers!$E:$E,ROW())="","",INDEX(Workers!$E:$E,ROW()))</f>
        <v/>
      </c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4" t="str">
        <f t="shared" si="0"/>
        <v/>
      </c>
      <c r="AK9" s="24" t="str">
        <f t="shared" si="1"/>
        <v/>
      </c>
      <c r="AL9" s="25" t="str">
        <f>IF(B9="","",AJ9*N(D9)+AK9*N(D9)/Setup!$B$6*Setup!$B$7)</f>
        <v/>
      </c>
      <c r="AM9" s="25" t="str">
        <f>IF(B9="","",SUMIFS(Payments!$D$5:$D$304,Payments!$B$5:$B$304,A9,Payments!$A$5:$A$304,"&gt;="&amp;DATE(Setup!$B$4,9,1),Payments!$A$5:$A$304,"&lt;="&amp;EOMONTH(DATE(Setup!$B$4,9,1),0)))</f>
        <v/>
      </c>
      <c r="AN9" s="25" t="str">
        <f t="shared" si="2"/>
        <v/>
      </c>
    </row>
    <row r="10" spans="1:40" x14ac:dyDescent="0.3">
      <c r="A10" s="14" t="str">
        <f>IF(INDEX(Workers!$B:$B,ROW())="","",INDEX(Workers!$B:$B,ROW()))</f>
        <v/>
      </c>
      <c r="B10" s="21" t="str">
        <f>IF(INDEX(Workers!$C:$C,ROW())="","",INDEX(Workers!$C:$C,ROW()))</f>
        <v/>
      </c>
      <c r="C10" s="21" t="str">
        <f>IF(INDEX(Workers!$D:$D,ROW())="","",INDEX(Workers!$D:$D,ROW()))</f>
        <v/>
      </c>
      <c r="D10" s="22" t="str">
        <f>IF(INDEX(Workers!$E:$E,ROW())="","",INDEX(Workers!$E:$E,ROW()))</f>
        <v/>
      </c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4" t="str">
        <f t="shared" si="0"/>
        <v/>
      </c>
      <c r="AK10" s="24" t="str">
        <f t="shared" si="1"/>
        <v/>
      </c>
      <c r="AL10" s="25" t="str">
        <f>IF(B10="","",AJ10*N(D10)+AK10*N(D10)/Setup!$B$6*Setup!$B$7)</f>
        <v/>
      </c>
      <c r="AM10" s="25" t="str">
        <f>IF(B10="","",SUMIFS(Payments!$D$5:$D$304,Payments!$B$5:$B$304,A10,Payments!$A$5:$A$304,"&gt;="&amp;DATE(Setup!$B$4,9,1),Payments!$A$5:$A$304,"&lt;="&amp;EOMONTH(DATE(Setup!$B$4,9,1),0)))</f>
        <v/>
      </c>
      <c r="AN10" s="25" t="str">
        <f t="shared" si="2"/>
        <v/>
      </c>
    </row>
    <row r="11" spans="1:40" x14ac:dyDescent="0.3">
      <c r="A11" s="14" t="str">
        <f>IF(INDEX(Workers!$B:$B,ROW())="","",INDEX(Workers!$B:$B,ROW()))</f>
        <v/>
      </c>
      <c r="B11" s="21" t="str">
        <f>IF(INDEX(Workers!$C:$C,ROW())="","",INDEX(Workers!$C:$C,ROW()))</f>
        <v/>
      </c>
      <c r="C11" s="21" t="str">
        <f>IF(INDEX(Workers!$D:$D,ROW())="","",INDEX(Workers!$D:$D,ROW()))</f>
        <v/>
      </c>
      <c r="D11" s="22" t="str">
        <f>IF(INDEX(Workers!$E:$E,ROW())="","",INDEX(Workers!$E:$E,ROW()))</f>
        <v/>
      </c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4" t="str">
        <f t="shared" si="0"/>
        <v/>
      </c>
      <c r="AK11" s="24" t="str">
        <f t="shared" si="1"/>
        <v/>
      </c>
      <c r="AL11" s="25" t="str">
        <f>IF(B11="","",AJ11*N(D11)+AK11*N(D11)/Setup!$B$6*Setup!$B$7)</f>
        <v/>
      </c>
      <c r="AM11" s="25" t="str">
        <f>IF(B11="","",SUMIFS(Payments!$D$5:$D$304,Payments!$B$5:$B$304,A11,Payments!$A$5:$A$304,"&gt;="&amp;DATE(Setup!$B$4,9,1),Payments!$A$5:$A$304,"&lt;="&amp;EOMONTH(DATE(Setup!$B$4,9,1),0)))</f>
        <v/>
      </c>
      <c r="AN11" s="25" t="str">
        <f t="shared" si="2"/>
        <v/>
      </c>
    </row>
    <row r="12" spans="1:40" x14ac:dyDescent="0.3">
      <c r="A12" s="14" t="str">
        <f>IF(INDEX(Workers!$B:$B,ROW())="","",INDEX(Workers!$B:$B,ROW()))</f>
        <v/>
      </c>
      <c r="B12" s="21" t="str">
        <f>IF(INDEX(Workers!$C:$C,ROW())="","",INDEX(Workers!$C:$C,ROW()))</f>
        <v/>
      </c>
      <c r="C12" s="21" t="str">
        <f>IF(INDEX(Workers!$D:$D,ROW())="","",INDEX(Workers!$D:$D,ROW()))</f>
        <v/>
      </c>
      <c r="D12" s="22" t="str">
        <f>IF(INDEX(Workers!$E:$E,ROW())="","",INDEX(Workers!$E:$E,ROW()))</f>
        <v/>
      </c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4" t="str">
        <f t="shared" si="0"/>
        <v/>
      </c>
      <c r="AK12" s="24" t="str">
        <f t="shared" si="1"/>
        <v/>
      </c>
      <c r="AL12" s="25" t="str">
        <f>IF(B12="","",AJ12*N(D12)+AK12*N(D12)/Setup!$B$6*Setup!$B$7)</f>
        <v/>
      </c>
      <c r="AM12" s="25" t="str">
        <f>IF(B12="","",SUMIFS(Payments!$D$5:$D$304,Payments!$B$5:$B$304,A12,Payments!$A$5:$A$304,"&gt;="&amp;DATE(Setup!$B$4,9,1),Payments!$A$5:$A$304,"&lt;="&amp;EOMONTH(DATE(Setup!$B$4,9,1),0)))</f>
        <v/>
      </c>
      <c r="AN12" s="25" t="str">
        <f t="shared" si="2"/>
        <v/>
      </c>
    </row>
    <row r="13" spans="1:40" x14ac:dyDescent="0.3">
      <c r="A13" s="14" t="str">
        <f>IF(INDEX(Workers!$B:$B,ROW())="","",INDEX(Workers!$B:$B,ROW()))</f>
        <v/>
      </c>
      <c r="B13" s="21" t="str">
        <f>IF(INDEX(Workers!$C:$C,ROW())="","",INDEX(Workers!$C:$C,ROW()))</f>
        <v/>
      </c>
      <c r="C13" s="21" t="str">
        <f>IF(INDEX(Workers!$D:$D,ROW())="","",INDEX(Workers!$D:$D,ROW()))</f>
        <v/>
      </c>
      <c r="D13" s="22" t="str">
        <f>IF(INDEX(Workers!$E:$E,ROW())="","",INDEX(Workers!$E:$E,ROW()))</f>
        <v/>
      </c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4" t="str">
        <f t="shared" si="0"/>
        <v/>
      </c>
      <c r="AK13" s="24" t="str">
        <f t="shared" si="1"/>
        <v/>
      </c>
      <c r="AL13" s="25" t="str">
        <f>IF(B13="","",AJ13*N(D13)+AK13*N(D13)/Setup!$B$6*Setup!$B$7)</f>
        <v/>
      </c>
      <c r="AM13" s="25" t="str">
        <f>IF(B13="","",SUMIFS(Payments!$D$5:$D$304,Payments!$B$5:$B$304,A13,Payments!$A$5:$A$304,"&gt;="&amp;DATE(Setup!$B$4,9,1),Payments!$A$5:$A$304,"&lt;="&amp;EOMONTH(DATE(Setup!$B$4,9,1),0)))</f>
        <v/>
      </c>
      <c r="AN13" s="25" t="str">
        <f t="shared" si="2"/>
        <v/>
      </c>
    </row>
    <row r="14" spans="1:40" x14ac:dyDescent="0.3">
      <c r="A14" s="14" t="str">
        <f>IF(INDEX(Workers!$B:$B,ROW())="","",INDEX(Workers!$B:$B,ROW()))</f>
        <v/>
      </c>
      <c r="B14" s="21" t="str">
        <f>IF(INDEX(Workers!$C:$C,ROW())="","",INDEX(Workers!$C:$C,ROW()))</f>
        <v/>
      </c>
      <c r="C14" s="21" t="str">
        <f>IF(INDEX(Workers!$D:$D,ROW())="","",INDEX(Workers!$D:$D,ROW()))</f>
        <v/>
      </c>
      <c r="D14" s="22" t="str">
        <f>IF(INDEX(Workers!$E:$E,ROW())="","",INDEX(Workers!$E:$E,ROW()))</f>
        <v/>
      </c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4" t="str">
        <f t="shared" si="0"/>
        <v/>
      </c>
      <c r="AK14" s="24" t="str">
        <f t="shared" si="1"/>
        <v/>
      </c>
      <c r="AL14" s="25" t="str">
        <f>IF(B14="","",AJ14*N(D14)+AK14*N(D14)/Setup!$B$6*Setup!$B$7)</f>
        <v/>
      </c>
      <c r="AM14" s="25" t="str">
        <f>IF(B14="","",SUMIFS(Payments!$D$5:$D$304,Payments!$B$5:$B$304,A14,Payments!$A$5:$A$304,"&gt;="&amp;DATE(Setup!$B$4,9,1),Payments!$A$5:$A$304,"&lt;="&amp;EOMONTH(DATE(Setup!$B$4,9,1),0)))</f>
        <v/>
      </c>
      <c r="AN14" s="25" t="str">
        <f t="shared" si="2"/>
        <v/>
      </c>
    </row>
    <row r="15" spans="1:40" x14ac:dyDescent="0.3">
      <c r="A15" s="14" t="str">
        <f>IF(INDEX(Workers!$B:$B,ROW())="","",INDEX(Workers!$B:$B,ROW()))</f>
        <v/>
      </c>
      <c r="B15" s="21" t="str">
        <f>IF(INDEX(Workers!$C:$C,ROW())="","",INDEX(Workers!$C:$C,ROW()))</f>
        <v/>
      </c>
      <c r="C15" s="21" t="str">
        <f>IF(INDEX(Workers!$D:$D,ROW())="","",INDEX(Workers!$D:$D,ROW()))</f>
        <v/>
      </c>
      <c r="D15" s="22" t="str">
        <f>IF(INDEX(Workers!$E:$E,ROW())="","",INDEX(Workers!$E:$E,ROW()))</f>
        <v/>
      </c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4" t="str">
        <f t="shared" si="0"/>
        <v/>
      </c>
      <c r="AK15" s="24" t="str">
        <f t="shared" si="1"/>
        <v/>
      </c>
      <c r="AL15" s="25" t="str">
        <f>IF(B15="","",AJ15*N(D15)+AK15*N(D15)/Setup!$B$6*Setup!$B$7)</f>
        <v/>
      </c>
      <c r="AM15" s="25" t="str">
        <f>IF(B15="","",SUMIFS(Payments!$D$5:$D$304,Payments!$B$5:$B$304,A15,Payments!$A$5:$A$304,"&gt;="&amp;DATE(Setup!$B$4,9,1),Payments!$A$5:$A$304,"&lt;="&amp;EOMONTH(DATE(Setup!$B$4,9,1),0)))</f>
        <v/>
      </c>
      <c r="AN15" s="25" t="str">
        <f t="shared" si="2"/>
        <v/>
      </c>
    </row>
    <row r="16" spans="1:40" x14ac:dyDescent="0.3">
      <c r="A16" s="14" t="str">
        <f>IF(INDEX(Workers!$B:$B,ROW())="","",INDEX(Workers!$B:$B,ROW()))</f>
        <v/>
      </c>
      <c r="B16" s="21" t="str">
        <f>IF(INDEX(Workers!$C:$C,ROW())="","",INDEX(Workers!$C:$C,ROW()))</f>
        <v/>
      </c>
      <c r="C16" s="21" t="str">
        <f>IF(INDEX(Workers!$D:$D,ROW())="","",INDEX(Workers!$D:$D,ROW()))</f>
        <v/>
      </c>
      <c r="D16" s="22" t="str">
        <f>IF(INDEX(Workers!$E:$E,ROW())="","",INDEX(Workers!$E:$E,ROW()))</f>
        <v/>
      </c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4" t="str">
        <f t="shared" si="0"/>
        <v/>
      </c>
      <c r="AK16" s="24" t="str">
        <f t="shared" si="1"/>
        <v/>
      </c>
      <c r="AL16" s="25" t="str">
        <f>IF(B16="","",AJ16*N(D16)+AK16*N(D16)/Setup!$B$6*Setup!$B$7)</f>
        <v/>
      </c>
      <c r="AM16" s="25" t="str">
        <f>IF(B16="","",SUMIFS(Payments!$D$5:$D$304,Payments!$B$5:$B$304,A16,Payments!$A$5:$A$304,"&gt;="&amp;DATE(Setup!$B$4,9,1),Payments!$A$5:$A$304,"&lt;="&amp;EOMONTH(DATE(Setup!$B$4,9,1),0)))</f>
        <v/>
      </c>
      <c r="AN16" s="25" t="str">
        <f t="shared" si="2"/>
        <v/>
      </c>
    </row>
    <row r="17" spans="1:40" x14ac:dyDescent="0.3">
      <c r="A17" s="14" t="str">
        <f>IF(INDEX(Workers!$B:$B,ROW())="","",INDEX(Workers!$B:$B,ROW()))</f>
        <v/>
      </c>
      <c r="B17" s="21" t="str">
        <f>IF(INDEX(Workers!$C:$C,ROW())="","",INDEX(Workers!$C:$C,ROW()))</f>
        <v/>
      </c>
      <c r="C17" s="21" t="str">
        <f>IF(INDEX(Workers!$D:$D,ROW())="","",INDEX(Workers!$D:$D,ROW()))</f>
        <v/>
      </c>
      <c r="D17" s="22" t="str">
        <f>IF(INDEX(Workers!$E:$E,ROW())="","",INDEX(Workers!$E:$E,ROW()))</f>
        <v/>
      </c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4" t="str">
        <f t="shared" si="0"/>
        <v/>
      </c>
      <c r="AK17" s="24" t="str">
        <f t="shared" si="1"/>
        <v/>
      </c>
      <c r="AL17" s="25" t="str">
        <f>IF(B17="","",AJ17*N(D17)+AK17*N(D17)/Setup!$B$6*Setup!$B$7)</f>
        <v/>
      </c>
      <c r="AM17" s="25" t="str">
        <f>IF(B17="","",SUMIFS(Payments!$D$5:$D$304,Payments!$B$5:$B$304,A17,Payments!$A$5:$A$304,"&gt;="&amp;DATE(Setup!$B$4,9,1),Payments!$A$5:$A$304,"&lt;="&amp;EOMONTH(DATE(Setup!$B$4,9,1),0)))</f>
        <v/>
      </c>
      <c r="AN17" s="25" t="str">
        <f t="shared" si="2"/>
        <v/>
      </c>
    </row>
    <row r="18" spans="1:40" x14ac:dyDescent="0.3">
      <c r="A18" s="14" t="str">
        <f>IF(INDEX(Workers!$B:$B,ROW())="","",INDEX(Workers!$B:$B,ROW()))</f>
        <v/>
      </c>
      <c r="B18" s="21" t="str">
        <f>IF(INDEX(Workers!$C:$C,ROW())="","",INDEX(Workers!$C:$C,ROW()))</f>
        <v/>
      </c>
      <c r="C18" s="21" t="str">
        <f>IF(INDEX(Workers!$D:$D,ROW())="","",INDEX(Workers!$D:$D,ROW()))</f>
        <v/>
      </c>
      <c r="D18" s="22" t="str">
        <f>IF(INDEX(Workers!$E:$E,ROW())="","",INDEX(Workers!$E:$E,ROW()))</f>
        <v/>
      </c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4" t="str">
        <f t="shared" si="0"/>
        <v/>
      </c>
      <c r="AK18" s="24" t="str">
        <f t="shared" si="1"/>
        <v/>
      </c>
      <c r="AL18" s="25" t="str">
        <f>IF(B18="","",AJ18*N(D18)+AK18*N(D18)/Setup!$B$6*Setup!$B$7)</f>
        <v/>
      </c>
      <c r="AM18" s="25" t="str">
        <f>IF(B18="","",SUMIFS(Payments!$D$5:$D$304,Payments!$B$5:$B$304,A18,Payments!$A$5:$A$304,"&gt;="&amp;DATE(Setup!$B$4,9,1),Payments!$A$5:$A$304,"&lt;="&amp;EOMONTH(DATE(Setup!$B$4,9,1),0)))</f>
        <v/>
      </c>
      <c r="AN18" s="25" t="str">
        <f t="shared" si="2"/>
        <v/>
      </c>
    </row>
    <row r="19" spans="1:40" x14ac:dyDescent="0.3">
      <c r="A19" s="14" t="str">
        <f>IF(INDEX(Workers!$B:$B,ROW())="","",INDEX(Workers!$B:$B,ROW()))</f>
        <v/>
      </c>
      <c r="B19" s="21" t="str">
        <f>IF(INDEX(Workers!$C:$C,ROW())="","",INDEX(Workers!$C:$C,ROW()))</f>
        <v/>
      </c>
      <c r="C19" s="21" t="str">
        <f>IF(INDEX(Workers!$D:$D,ROW())="","",INDEX(Workers!$D:$D,ROW()))</f>
        <v/>
      </c>
      <c r="D19" s="22" t="str">
        <f>IF(INDEX(Workers!$E:$E,ROW())="","",INDEX(Workers!$E:$E,ROW()))</f>
        <v/>
      </c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4" t="str">
        <f t="shared" si="0"/>
        <v/>
      </c>
      <c r="AK19" s="24" t="str">
        <f t="shared" si="1"/>
        <v/>
      </c>
      <c r="AL19" s="25" t="str">
        <f>IF(B19="","",AJ19*N(D19)+AK19*N(D19)/Setup!$B$6*Setup!$B$7)</f>
        <v/>
      </c>
      <c r="AM19" s="25" t="str">
        <f>IF(B19="","",SUMIFS(Payments!$D$5:$D$304,Payments!$B$5:$B$304,A19,Payments!$A$5:$A$304,"&gt;="&amp;DATE(Setup!$B$4,9,1),Payments!$A$5:$A$304,"&lt;="&amp;EOMONTH(DATE(Setup!$B$4,9,1),0)))</f>
        <v/>
      </c>
      <c r="AN19" s="25" t="str">
        <f t="shared" si="2"/>
        <v/>
      </c>
    </row>
    <row r="20" spans="1:40" x14ac:dyDescent="0.3">
      <c r="A20" s="14" t="str">
        <f>IF(INDEX(Workers!$B:$B,ROW())="","",INDEX(Workers!$B:$B,ROW()))</f>
        <v/>
      </c>
      <c r="B20" s="21" t="str">
        <f>IF(INDEX(Workers!$C:$C,ROW())="","",INDEX(Workers!$C:$C,ROW()))</f>
        <v/>
      </c>
      <c r="C20" s="21" t="str">
        <f>IF(INDEX(Workers!$D:$D,ROW())="","",INDEX(Workers!$D:$D,ROW()))</f>
        <v/>
      </c>
      <c r="D20" s="22" t="str">
        <f>IF(INDEX(Workers!$E:$E,ROW())="","",INDEX(Workers!$E:$E,ROW()))</f>
        <v/>
      </c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4" t="str">
        <f t="shared" si="0"/>
        <v/>
      </c>
      <c r="AK20" s="24" t="str">
        <f t="shared" si="1"/>
        <v/>
      </c>
      <c r="AL20" s="25" t="str">
        <f>IF(B20="","",AJ20*N(D20)+AK20*N(D20)/Setup!$B$6*Setup!$B$7)</f>
        <v/>
      </c>
      <c r="AM20" s="25" t="str">
        <f>IF(B20="","",SUMIFS(Payments!$D$5:$D$304,Payments!$B$5:$B$304,A20,Payments!$A$5:$A$304,"&gt;="&amp;DATE(Setup!$B$4,9,1),Payments!$A$5:$A$304,"&lt;="&amp;EOMONTH(DATE(Setup!$B$4,9,1),0)))</f>
        <v/>
      </c>
      <c r="AN20" s="25" t="str">
        <f t="shared" si="2"/>
        <v/>
      </c>
    </row>
    <row r="21" spans="1:40" x14ac:dyDescent="0.3">
      <c r="A21" s="14" t="str">
        <f>IF(INDEX(Workers!$B:$B,ROW())="","",INDEX(Workers!$B:$B,ROW()))</f>
        <v/>
      </c>
      <c r="B21" s="21" t="str">
        <f>IF(INDEX(Workers!$C:$C,ROW())="","",INDEX(Workers!$C:$C,ROW()))</f>
        <v/>
      </c>
      <c r="C21" s="21" t="str">
        <f>IF(INDEX(Workers!$D:$D,ROW())="","",INDEX(Workers!$D:$D,ROW()))</f>
        <v/>
      </c>
      <c r="D21" s="22" t="str">
        <f>IF(INDEX(Workers!$E:$E,ROW())="","",INDEX(Workers!$E:$E,ROW()))</f>
        <v/>
      </c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4" t="str">
        <f t="shared" si="0"/>
        <v/>
      </c>
      <c r="AK21" s="24" t="str">
        <f t="shared" si="1"/>
        <v/>
      </c>
      <c r="AL21" s="25" t="str">
        <f>IF(B21="","",AJ21*N(D21)+AK21*N(D21)/Setup!$B$6*Setup!$B$7)</f>
        <v/>
      </c>
      <c r="AM21" s="25" t="str">
        <f>IF(B21="","",SUMIFS(Payments!$D$5:$D$304,Payments!$B$5:$B$304,A21,Payments!$A$5:$A$304,"&gt;="&amp;DATE(Setup!$B$4,9,1),Payments!$A$5:$A$304,"&lt;="&amp;EOMONTH(DATE(Setup!$B$4,9,1),0)))</f>
        <v/>
      </c>
      <c r="AN21" s="25" t="str">
        <f t="shared" si="2"/>
        <v/>
      </c>
    </row>
    <row r="22" spans="1:40" x14ac:dyDescent="0.3">
      <c r="A22" s="14" t="str">
        <f>IF(INDEX(Workers!$B:$B,ROW())="","",INDEX(Workers!$B:$B,ROW()))</f>
        <v/>
      </c>
      <c r="B22" s="21" t="str">
        <f>IF(INDEX(Workers!$C:$C,ROW())="","",INDEX(Workers!$C:$C,ROW()))</f>
        <v/>
      </c>
      <c r="C22" s="21" t="str">
        <f>IF(INDEX(Workers!$D:$D,ROW())="","",INDEX(Workers!$D:$D,ROW()))</f>
        <v/>
      </c>
      <c r="D22" s="22" t="str">
        <f>IF(INDEX(Workers!$E:$E,ROW())="","",INDEX(Workers!$E:$E,ROW()))</f>
        <v/>
      </c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4" t="str">
        <f t="shared" si="0"/>
        <v/>
      </c>
      <c r="AK22" s="24" t="str">
        <f t="shared" si="1"/>
        <v/>
      </c>
      <c r="AL22" s="25" t="str">
        <f>IF(B22="","",AJ22*N(D22)+AK22*N(D22)/Setup!$B$6*Setup!$B$7)</f>
        <v/>
      </c>
      <c r="AM22" s="25" t="str">
        <f>IF(B22="","",SUMIFS(Payments!$D$5:$D$304,Payments!$B$5:$B$304,A22,Payments!$A$5:$A$304,"&gt;="&amp;DATE(Setup!$B$4,9,1),Payments!$A$5:$A$304,"&lt;="&amp;EOMONTH(DATE(Setup!$B$4,9,1),0)))</f>
        <v/>
      </c>
      <c r="AN22" s="25" t="str">
        <f t="shared" si="2"/>
        <v/>
      </c>
    </row>
    <row r="23" spans="1:40" x14ac:dyDescent="0.3">
      <c r="A23" s="14" t="str">
        <f>IF(INDEX(Workers!$B:$B,ROW())="","",INDEX(Workers!$B:$B,ROW()))</f>
        <v/>
      </c>
      <c r="B23" s="21" t="str">
        <f>IF(INDEX(Workers!$C:$C,ROW())="","",INDEX(Workers!$C:$C,ROW()))</f>
        <v/>
      </c>
      <c r="C23" s="21" t="str">
        <f>IF(INDEX(Workers!$D:$D,ROW())="","",INDEX(Workers!$D:$D,ROW()))</f>
        <v/>
      </c>
      <c r="D23" s="22" t="str">
        <f>IF(INDEX(Workers!$E:$E,ROW())="","",INDEX(Workers!$E:$E,ROW()))</f>
        <v/>
      </c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4" t="str">
        <f t="shared" si="0"/>
        <v/>
      </c>
      <c r="AK23" s="24" t="str">
        <f t="shared" si="1"/>
        <v/>
      </c>
      <c r="AL23" s="25" t="str">
        <f>IF(B23="","",AJ23*N(D23)+AK23*N(D23)/Setup!$B$6*Setup!$B$7)</f>
        <v/>
      </c>
      <c r="AM23" s="25" t="str">
        <f>IF(B23="","",SUMIFS(Payments!$D$5:$D$304,Payments!$B$5:$B$304,A23,Payments!$A$5:$A$304,"&gt;="&amp;DATE(Setup!$B$4,9,1),Payments!$A$5:$A$304,"&lt;="&amp;EOMONTH(DATE(Setup!$B$4,9,1),0)))</f>
        <v/>
      </c>
      <c r="AN23" s="25" t="str">
        <f t="shared" si="2"/>
        <v/>
      </c>
    </row>
    <row r="24" spans="1:40" x14ac:dyDescent="0.3">
      <c r="A24" s="14" t="str">
        <f>IF(INDEX(Workers!$B:$B,ROW())="","",INDEX(Workers!$B:$B,ROW()))</f>
        <v/>
      </c>
      <c r="B24" s="21" t="str">
        <f>IF(INDEX(Workers!$C:$C,ROW())="","",INDEX(Workers!$C:$C,ROW()))</f>
        <v/>
      </c>
      <c r="C24" s="21" t="str">
        <f>IF(INDEX(Workers!$D:$D,ROW())="","",INDEX(Workers!$D:$D,ROW()))</f>
        <v/>
      </c>
      <c r="D24" s="22" t="str">
        <f>IF(INDEX(Workers!$E:$E,ROW())="","",INDEX(Workers!$E:$E,ROW()))</f>
        <v/>
      </c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4" t="str">
        <f t="shared" si="0"/>
        <v/>
      </c>
      <c r="AK24" s="24" t="str">
        <f t="shared" si="1"/>
        <v/>
      </c>
      <c r="AL24" s="25" t="str">
        <f>IF(B24="","",AJ24*N(D24)+AK24*N(D24)/Setup!$B$6*Setup!$B$7)</f>
        <v/>
      </c>
      <c r="AM24" s="25" t="str">
        <f>IF(B24="","",SUMIFS(Payments!$D$5:$D$304,Payments!$B$5:$B$304,A24,Payments!$A$5:$A$304,"&gt;="&amp;DATE(Setup!$B$4,9,1),Payments!$A$5:$A$304,"&lt;="&amp;EOMONTH(DATE(Setup!$B$4,9,1),0)))</f>
        <v/>
      </c>
      <c r="AN24" s="25" t="str">
        <f t="shared" si="2"/>
        <v/>
      </c>
    </row>
    <row r="25" spans="1:40" x14ac:dyDescent="0.3">
      <c r="A25" s="14" t="str">
        <f>IF(INDEX(Workers!$B:$B,ROW())="","",INDEX(Workers!$B:$B,ROW()))</f>
        <v/>
      </c>
      <c r="B25" s="21" t="str">
        <f>IF(INDEX(Workers!$C:$C,ROW())="","",INDEX(Workers!$C:$C,ROW()))</f>
        <v/>
      </c>
      <c r="C25" s="21" t="str">
        <f>IF(INDEX(Workers!$D:$D,ROW())="","",INDEX(Workers!$D:$D,ROW()))</f>
        <v/>
      </c>
      <c r="D25" s="22" t="str">
        <f>IF(INDEX(Workers!$E:$E,ROW())="","",INDEX(Workers!$E:$E,ROW()))</f>
        <v/>
      </c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4" t="str">
        <f t="shared" si="0"/>
        <v/>
      </c>
      <c r="AK25" s="24" t="str">
        <f t="shared" si="1"/>
        <v/>
      </c>
      <c r="AL25" s="25" t="str">
        <f>IF(B25="","",AJ25*N(D25)+AK25*N(D25)/Setup!$B$6*Setup!$B$7)</f>
        <v/>
      </c>
      <c r="AM25" s="25" t="str">
        <f>IF(B25="","",SUMIFS(Payments!$D$5:$D$304,Payments!$B$5:$B$304,A25,Payments!$A$5:$A$304,"&gt;="&amp;DATE(Setup!$B$4,9,1),Payments!$A$5:$A$304,"&lt;="&amp;EOMONTH(DATE(Setup!$B$4,9,1),0)))</f>
        <v/>
      </c>
      <c r="AN25" s="25" t="str">
        <f t="shared" si="2"/>
        <v/>
      </c>
    </row>
    <row r="26" spans="1:40" x14ac:dyDescent="0.3">
      <c r="A26" s="14" t="str">
        <f>IF(INDEX(Workers!$B:$B,ROW())="","",INDEX(Workers!$B:$B,ROW()))</f>
        <v/>
      </c>
      <c r="B26" s="21" t="str">
        <f>IF(INDEX(Workers!$C:$C,ROW())="","",INDEX(Workers!$C:$C,ROW()))</f>
        <v/>
      </c>
      <c r="C26" s="21" t="str">
        <f>IF(INDEX(Workers!$D:$D,ROW())="","",INDEX(Workers!$D:$D,ROW()))</f>
        <v/>
      </c>
      <c r="D26" s="22" t="str">
        <f>IF(INDEX(Workers!$E:$E,ROW())="","",INDEX(Workers!$E:$E,ROW()))</f>
        <v/>
      </c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4" t="str">
        <f t="shared" si="0"/>
        <v/>
      </c>
      <c r="AK26" s="24" t="str">
        <f t="shared" si="1"/>
        <v/>
      </c>
      <c r="AL26" s="25" t="str">
        <f>IF(B26="","",AJ26*N(D26)+AK26*N(D26)/Setup!$B$6*Setup!$B$7)</f>
        <v/>
      </c>
      <c r="AM26" s="25" t="str">
        <f>IF(B26="","",SUMIFS(Payments!$D$5:$D$304,Payments!$B$5:$B$304,A26,Payments!$A$5:$A$304,"&gt;="&amp;DATE(Setup!$B$4,9,1),Payments!$A$5:$A$304,"&lt;="&amp;EOMONTH(DATE(Setup!$B$4,9,1),0)))</f>
        <v/>
      </c>
      <c r="AN26" s="25" t="str">
        <f t="shared" si="2"/>
        <v/>
      </c>
    </row>
    <row r="27" spans="1:40" x14ac:dyDescent="0.3">
      <c r="A27" s="14" t="str">
        <f>IF(INDEX(Workers!$B:$B,ROW())="","",INDEX(Workers!$B:$B,ROW()))</f>
        <v/>
      </c>
      <c r="B27" s="21" t="str">
        <f>IF(INDEX(Workers!$C:$C,ROW())="","",INDEX(Workers!$C:$C,ROW()))</f>
        <v/>
      </c>
      <c r="C27" s="21" t="str">
        <f>IF(INDEX(Workers!$D:$D,ROW())="","",INDEX(Workers!$D:$D,ROW()))</f>
        <v/>
      </c>
      <c r="D27" s="22" t="str">
        <f>IF(INDEX(Workers!$E:$E,ROW())="","",INDEX(Workers!$E:$E,ROW()))</f>
        <v/>
      </c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4" t="str">
        <f t="shared" si="0"/>
        <v/>
      </c>
      <c r="AK27" s="24" t="str">
        <f t="shared" si="1"/>
        <v/>
      </c>
      <c r="AL27" s="25" t="str">
        <f>IF(B27="","",AJ27*N(D27)+AK27*N(D27)/Setup!$B$6*Setup!$B$7)</f>
        <v/>
      </c>
      <c r="AM27" s="25" t="str">
        <f>IF(B27="","",SUMIFS(Payments!$D$5:$D$304,Payments!$B$5:$B$304,A27,Payments!$A$5:$A$304,"&gt;="&amp;DATE(Setup!$B$4,9,1),Payments!$A$5:$A$304,"&lt;="&amp;EOMONTH(DATE(Setup!$B$4,9,1),0)))</f>
        <v/>
      </c>
      <c r="AN27" s="25" t="str">
        <f t="shared" si="2"/>
        <v/>
      </c>
    </row>
    <row r="28" spans="1:40" x14ac:dyDescent="0.3">
      <c r="A28" s="14" t="str">
        <f>IF(INDEX(Workers!$B:$B,ROW())="","",INDEX(Workers!$B:$B,ROW()))</f>
        <v/>
      </c>
      <c r="B28" s="21" t="str">
        <f>IF(INDEX(Workers!$C:$C,ROW())="","",INDEX(Workers!$C:$C,ROW()))</f>
        <v/>
      </c>
      <c r="C28" s="21" t="str">
        <f>IF(INDEX(Workers!$D:$D,ROW())="","",INDEX(Workers!$D:$D,ROW()))</f>
        <v/>
      </c>
      <c r="D28" s="22" t="str">
        <f>IF(INDEX(Workers!$E:$E,ROW())="","",INDEX(Workers!$E:$E,ROW()))</f>
        <v/>
      </c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4" t="str">
        <f t="shared" si="0"/>
        <v/>
      </c>
      <c r="AK28" s="24" t="str">
        <f t="shared" si="1"/>
        <v/>
      </c>
      <c r="AL28" s="25" t="str">
        <f>IF(B28="","",AJ28*N(D28)+AK28*N(D28)/Setup!$B$6*Setup!$B$7)</f>
        <v/>
      </c>
      <c r="AM28" s="25" t="str">
        <f>IF(B28="","",SUMIFS(Payments!$D$5:$D$304,Payments!$B$5:$B$304,A28,Payments!$A$5:$A$304,"&gt;="&amp;DATE(Setup!$B$4,9,1),Payments!$A$5:$A$304,"&lt;="&amp;EOMONTH(DATE(Setup!$B$4,9,1),0)))</f>
        <v/>
      </c>
      <c r="AN28" s="25" t="str">
        <f t="shared" si="2"/>
        <v/>
      </c>
    </row>
    <row r="29" spans="1:40" x14ac:dyDescent="0.3">
      <c r="A29" s="14" t="str">
        <f>IF(INDEX(Workers!$B:$B,ROW())="","",INDEX(Workers!$B:$B,ROW()))</f>
        <v/>
      </c>
      <c r="B29" s="21" t="str">
        <f>IF(INDEX(Workers!$C:$C,ROW())="","",INDEX(Workers!$C:$C,ROW()))</f>
        <v/>
      </c>
      <c r="C29" s="21" t="str">
        <f>IF(INDEX(Workers!$D:$D,ROW())="","",INDEX(Workers!$D:$D,ROW()))</f>
        <v/>
      </c>
      <c r="D29" s="22" t="str">
        <f>IF(INDEX(Workers!$E:$E,ROW())="","",INDEX(Workers!$E:$E,ROW()))</f>
        <v/>
      </c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4" t="str">
        <f t="shared" si="0"/>
        <v/>
      </c>
      <c r="AK29" s="24" t="str">
        <f t="shared" si="1"/>
        <v/>
      </c>
      <c r="AL29" s="25" t="str">
        <f>IF(B29="","",AJ29*N(D29)+AK29*N(D29)/Setup!$B$6*Setup!$B$7)</f>
        <v/>
      </c>
      <c r="AM29" s="25" t="str">
        <f>IF(B29="","",SUMIFS(Payments!$D$5:$D$304,Payments!$B$5:$B$304,A29,Payments!$A$5:$A$304,"&gt;="&amp;DATE(Setup!$B$4,9,1),Payments!$A$5:$A$304,"&lt;="&amp;EOMONTH(DATE(Setup!$B$4,9,1),0)))</f>
        <v/>
      </c>
      <c r="AN29" s="25" t="str">
        <f t="shared" si="2"/>
        <v/>
      </c>
    </row>
    <row r="30" spans="1:40" x14ac:dyDescent="0.3">
      <c r="A30" s="14" t="str">
        <f>IF(INDEX(Workers!$B:$B,ROW())="","",INDEX(Workers!$B:$B,ROW()))</f>
        <v/>
      </c>
      <c r="B30" s="21" t="str">
        <f>IF(INDEX(Workers!$C:$C,ROW())="","",INDEX(Workers!$C:$C,ROW()))</f>
        <v/>
      </c>
      <c r="C30" s="21" t="str">
        <f>IF(INDEX(Workers!$D:$D,ROW())="","",INDEX(Workers!$D:$D,ROW()))</f>
        <v/>
      </c>
      <c r="D30" s="22" t="str">
        <f>IF(INDEX(Workers!$E:$E,ROW())="","",INDEX(Workers!$E:$E,ROW()))</f>
        <v/>
      </c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4" t="str">
        <f t="shared" si="0"/>
        <v/>
      </c>
      <c r="AK30" s="24" t="str">
        <f t="shared" si="1"/>
        <v/>
      </c>
      <c r="AL30" s="25" t="str">
        <f>IF(B30="","",AJ30*N(D30)+AK30*N(D30)/Setup!$B$6*Setup!$B$7)</f>
        <v/>
      </c>
      <c r="AM30" s="25" t="str">
        <f>IF(B30="","",SUMIFS(Payments!$D$5:$D$304,Payments!$B$5:$B$304,A30,Payments!$A$5:$A$304,"&gt;="&amp;DATE(Setup!$B$4,9,1),Payments!$A$5:$A$304,"&lt;="&amp;EOMONTH(DATE(Setup!$B$4,9,1),0)))</f>
        <v/>
      </c>
      <c r="AN30" s="25" t="str">
        <f t="shared" si="2"/>
        <v/>
      </c>
    </row>
    <row r="31" spans="1:40" x14ac:dyDescent="0.3">
      <c r="A31" s="14" t="str">
        <f>IF(INDEX(Workers!$B:$B,ROW())="","",INDEX(Workers!$B:$B,ROW()))</f>
        <v/>
      </c>
      <c r="B31" s="21" t="str">
        <f>IF(INDEX(Workers!$C:$C,ROW())="","",INDEX(Workers!$C:$C,ROW()))</f>
        <v/>
      </c>
      <c r="C31" s="21" t="str">
        <f>IF(INDEX(Workers!$D:$D,ROW())="","",INDEX(Workers!$D:$D,ROW()))</f>
        <v/>
      </c>
      <c r="D31" s="22" t="str">
        <f>IF(INDEX(Workers!$E:$E,ROW())="","",INDEX(Workers!$E:$E,ROW()))</f>
        <v/>
      </c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4" t="str">
        <f t="shared" si="0"/>
        <v/>
      </c>
      <c r="AK31" s="24" t="str">
        <f t="shared" si="1"/>
        <v/>
      </c>
      <c r="AL31" s="25" t="str">
        <f>IF(B31="","",AJ31*N(D31)+AK31*N(D31)/Setup!$B$6*Setup!$B$7)</f>
        <v/>
      </c>
      <c r="AM31" s="25" t="str">
        <f>IF(B31="","",SUMIFS(Payments!$D$5:$D$304,Payments!$B$5:$B$304,A31,Payments!$A$5:$A$304,"&gt;="&amp;DATE(Setup!$B$4,9,1),Payments!$A$5:$A$304,"&lt;="&amp;EOMONTH(DATE(Setup!$B$4,9,1),0)))</f>
        <v/>
      </c>
      <c r="AN31" s="25" t="str">
        <f t="shared" si="2"/>
        <v/>
      </c>
    </row>
    <row r="32" spans="1:40" x14ac:dyDescent="0.3">
      <c r="A32" s="14" t="str">
        <f>IF(INDEX(Workers!$B:$B,ROW())="","",INDEX(Workers!$B:$B,ROW()))</f>
        <v/>
      </c>
      <c r="B32" s="21" t="str">
        <f>IF(INDEX(Workers!$C:$C,ROW())="","",INDEX(Workers!$C:$C,ROW()))</f>
        <v/>
      </c>
      <c r="C32" s="21" t="str">
        <f>IF(INDEX(Workers!$D:$D,ROW())="","",INDEX(Workers!$D:$D,ROW()))</f>
        <v/>
      </c>
      <c r="D32" s="22" t="str">
        <f>IF(INDEX(Workers!$E:$E,ROW())="","",INDEX(Workers!$E:$E,ROW()))</f>
        <v/>
      </c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4" t="str">
        <f t="shared" si="0"/>
        <v/>
      </c>
      <c r="AK32" s="24" t="str">
        <f t="shared" si="1"/>
        <v/>
      </c>
      <c r="AL32" s="25" t="str">
        <f>IF(B32="","",AJ32*N(D32)+AK32*N(D32)/Setup!$B$6*Setup!$B$7)</f>
        <v/>
      </c>
      <c r="AM32" s="25" t="str">
        <f>IF(B32="","",SUMIFS(Payments!$D$5:$D$304,Payments!$B$5:$B$304,A32,Payments!$A$5:$A$304,"&gt;="&amp;DATE(Setup!$B$4,9,1),Payments!$A$5:$A$304,"&lt;="&amp;EOMONTH(DATE(Setup!$B$4,9,1),0)))</f>
        <v/>
      </c>
      <c r="AN32" s="25" t="str">
        <f t="shared" si="2"/>
        <v/>
      </c>
    </row>
    <row r="33" spans="1:40" x14ac:dyDescent="0.3">
      <c r="A33" s="14" t="str">
        <f>IF(INDEX(Workers!$B:$B,ROW())="","",INDEX(Workers!$B:$B,ROW()))</f>
        <v/>
      </c>
      <c r="B33" s="21" t="str">
        <f>IF(INDEX(Workers!$C:$C,ROW())="","",INDEX(Workers!$C:$C,ROW()))</f>
        <v/>
      </c>
      <c r="C33" s="21" t="str">
        <f>IF(INDEX(Workers!$D:$D,ROW())="","",INDEX(Workers!$D:$D,ROW()))</f>
        <v/>
      </c>
      <c r="D33" s="22" t="str">
        <f>IF(INDEX(Workers!$E:$E,ROW())="","",INDEX(Workers!$E:$E,ROW()))</f>
        <v/>
      </c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4" t="str">
        <f t="shared" si="0"/>
        <v/>
      </c>
      <c r="AK33" s="24" t="str">
        <f t="shared" si="1"/>
        <v/>
      </c>
      <c r="AL33" s="25" t="str">
        <f>IF(B33="","",AJ33*N(D33)+AK33*N(D33)/Setup!$B$6*Setup!$B$7)</f>
        <v/>
      </c>
      <c r="AM33" s="25" t="str">
        <f>IF(B33="","",SUMIFS(Payments!$D$5:$D$304,Payments!$B$5:$B$304,A33,Payments!$A$5:$A$304,"&gt;="&amp;DATE(Setup!$B$4,9,1),Payments!$A$5:$A$304,"&lt;="&amp;EOMONTH(DATE(Setup!$B$4,9,1),0)))</f>
        <v/>
      </c>
      <c r="AN33" s="25" t="str">
        <f t="shared" si="2"/>
        <v/>
      </c>
    </row>
    <row r="34" spans="1:40" x14ac:dyDescent="0.3">
      <c r="A34" s="14" t="str">
        <f>IF(INDEX(Workers!$B:$B,ROW())="","",INDEX(Workers!$B:$B,ROW()))</f>
        <v/>
      </c>
      <c r="B34" s="21" t="str">
        <f>IF(INDEX(Workers!$C:$C,ROW())="","",INDEX(Workers!$C:$C,ROW()))</f>
        <v/>
      </c>
      <c r="C34" s="21" t="str">
        <f>IF(INDEX(Workers!$D:$D,ROW())="","",INDEX(Workers!$D:$D,ROW()))</f>
        <v/>
      </c>
      <c r="D34" s="22" t="str">
        <f>IF(INDEX(Workers!$E:$E,ROW())="","",INDEX(Workers!$E:$E,ROW()))</f>
        <v/>
      </c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4" t="str">
        <f t="shared" si="0"/>
        <v/>
      </c>
      <c r="AK34" s="24" t="str">
        <f t="shared" si="1"/>
        <v/>
      </c>
      <c r="AL34" s="25" t="str">
        <f>IF(B34="","",AJ34*N(D34)+AK34*N(D34)/Setup!$B$6*Setup!$B$7)</f>
        <v/>
      </c>
      <c r="AM34" s="25" t="str">
        <f>IF(B34="","",SUMIFS(Payments!$D$5:$D$304,Payments!$B$5:$B$304,A34,Payments!$A$5:$A$304,"&gt;="&amp;DATE(Setup!$B$4,9,1),Payments!$A$5:$A$304,"&lt;="&amp;EOMONTH(DATE(Setup!$B$4,9,1),0)))</f>
        <v/>
      </c>
      <c r="AN34" s="25" t="str">
        <f t="shared" si="2"/>
        <v/>
      </c>
    </row>
    <row r="35" spans="1:40" x14ac:dyDescent="0.3">
      <c r="A35" s="14" t="str">
        <f>IF(INDEX(Workers!$B:$B,ROW())="","",INDEX(Workers!$B:$B,ROW()))</f>
        <v/>
      </c>
      <c r="B35" s="21" t="str">
        <f>IF(INDEX(Workers!$C:$C,ROW())="","",INDEX(Workers!$C:$C,ROW()))</f>
        <v/>
      </c>
      <c r="C35" s="21" t="str">
        <f>IF(INDEX(Workers!$D:$D,ROW())="","",INDEX(Workers!$D:$D,ROW()))</f>
        <v/>
      </c>
      <c r="D35" s="22" t="str">
        <f>IF(INDEX(Workers!$E:$E,ROW())="","",INDEX(Workers!$E:$E,ROW()))</f>
        <v/>
      </c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4" t="str">
        <f t="shared" si="0"/>
        <v/>
      </c>
      <c r="AK35" s="24" t="str">
        <f t="shared" si="1"/>
        <v/>
      </c>
      <c r="AL35" s="25" t="str">
        <f>IF(B35="","",AJ35*N(D35)+AK35*N(D35)/Setup!$B$6*Setup!$B$7)</f>
        <v/>
      </c>
      <c r="AM35" s="25" t="str">
        <f>IF(B35="","",SUMIFS(Payments!$D$5:$D$304,Payments!$B$5:$B$304,A35,Payments!$A$5:$A$304,"&gt;="&amp;DATE(Setup!$B$4,9,1),Payments!$A$5:$A$304,"&lt;="&amp;EOMONTH(DATE(Setup!$B$4,9,1),0)))</f>
        <v/>
      </c>
      <c r="AN35" s="25" t="str">
        <f t="shared" si="2"/>
        <v/>
      </c>
    </row>
    <row r="36" spans="1:40" x14ac:dyDescent="0.3">
      <c r="A36" s="14" t="str">
        <f>IF(INDEX(Workers!$B:$B,ROW())="","",INDEX(Workers!$B:$B,ROW()))</f>
        <v/>
      </c>
      <c r="B36" s="21" t="str">
        <f>IF(INDEX(Workers!$C:$C,ROW())="","",INDEX(Workers!$C:$C,ROW()))</f>
        <v/>
      </c>
      <c r="C36" s="21" t="str">
        <f>IF(INDEX(Workers!$D:$D,ROW())="","",INDEX(Workers!$D:$D,ROW()))</f>
        <v/>
      </c>
      <c r="D36" s="22" t="str">
        <f>IF(INDEX(Workers!$E:$E,ROW())="","",INDEX(Workers!$E:$E,ROW()))</f>
        <v/>
      </c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4" t="str">
        <f t="shared" si="0"/>
        <v/>
      </c>
      <c r="AK36" s="24" t="str">
        <f t="shared" si="1"/>
        <v/>
      </c>
      <c r="AL36" s="25" t="str">
        <f>IF(B36="","",AJ36*N(D36)+AK36*N(D36)/Setup!$B$6*Setup!$B$7)</f>
        <v/>
      </c>
      <c r="AM36" s="25" t="str">
        <f>IF(B36="","",SUMIFS(Payments!$D$5:$D$304,Payments!$B$5:$B$304,A36,Payments!$A$5:$A$304,"&gt;="&amp;DATE(Setup!$B$4,9,1),Payments!$A$5:$A$304,"&lt;="&amp;EOMONTH(DATE(Setup!$B$4,9,1),0)))</f>
        <v/>
      </c>
      <c r="AN36" s="25" t="str">
        <f t="shared" si="2"/>
        <v/>
      </c>
    </row>
    <row r="37" spans="1:40" x14ac:dyDescent="0.3">
      <c r="A37" s="14" t="str">
        <f>IF(INDEX(Workers!$B:$B,ROW())="","",INDEX(Workers!$B:$B,ROW()))</f>
        <v/>
      </c>
      <c r="B37" s="21" t="str">
        <f>IF(INDEX(Workers!$C:$C,ROW())="","",INDEX(Workers!$C:$C,ROW()))</f>
        <v/>
      </c>
      <c r="C37" s="21" t="str">
        <f>IF(INDEX(Workers!$D:$D,ROW())="","",INDEX(Workers!$D:$D,ROW()))</f>
        <v/>
      </c>
      <c r="D37" s="22" t="str">
        <f>IF(INDEX(Workers!$E:$E,ROW())="","",INDEX(Workers!$E:$E,ROW()))</f>
        <v/>
      </c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4" t="str">
        <f t="shared" si="0"/>
        <v/>
      </c>
      <c r="AK37" s="24" t="str">
        <f t="shared" si="1"/>
        <v/>
      </c>
      <c r="AL37" s="25" t="str">
        <f>IF(B37="","",AJ37*N(D37)+AK37*N(D37)/Setup!$B$6*Setup!$B$7)</f>
        <v/>
      </c>
      <c r="AM37" s="25" t="str">
        <f>IF(B37="","",SUMIFS(Payments!$D$5:$D$304,Payments!$B$5:$B$304,A37,Payments!$A$5:$A$304,"&gt;="&amp;DATE(Setup!$B$4,9,1),Payments!$A$5:$A$304,"&lt;="&amp;EOMONTH(DATE(Setup!$B$4,9,1),0)))</f>
        <v/>
      </c>
      <c r="AN37" s="25" t="str">
        <f t="shared" si="2"/>
        <v/>
      </c>
    </row>
    <row r="38" spans="1:40" x14ac:dyDescent="0.3">
      <c r="A38" s="14" t="str">
        <f>IF(INDEX(Workers!$B:$B,ROW())="","",INDEX(Workers!$B:$B,ROW()))</f>
        <v/>
      </c>
      <c r="B38" s="21" t="str">
        <f>IF(INDEX(Workers!$C:$C,ROW())="","",INDEX(Workers!$C:$C,ROW()))</f>
        <v/>
      </c>
      <c r="C38" s="21" t="str">
        <f>IF(INDEX(Workers!$D:$D,ROW())="","",INDEX(Workers!$D:$D,ROW()))</f>
        <v/>
      </c>
      <c r="D38" s="22" t="str">
        <f>IF(INDEX(Workers!$E:$E,ROW())="","",INDEX(Workers!$E:$E,ROW()))</f>
        <v/>
      </c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4" t="str">
        <f t="shared" si="0"/>
        <v/>
      </c>
      <c r="AK38" s="24" t="str">
        <f t="shared" si="1"/>
        <v/>
      </c>
      <c r="AL38" s="25" t="str">
        <f>IF(B38="","",AJ38*N(D38)+AK38*N(D38)/Setup!$B$6*Setup!$B$7)</f>
        <v/>
      </c>
      <c r="AM38" s="25" t="str">
        <f>IF(B38="","",SUMIFS(Payments!$D$5:$D$304,Payments!$B$5:$B$304,A38,Payments!$A$5:$A$304,"&gt;="&amp;DATE(Setup!$B$4,9,1),Payments!$A$5:$A$304,"&lt;="&amp;EOMONTH(DATE(Setup!$B$4,9,1),0)))</f>
        <v/>
      </c>
      <c r="AN38" s="25" t="str">
        <f t="shared" si="2"/>
        <v/>
      </c>
    </row>
    <row r="39" spans="1:40" x14ac:dyDescent="0.3">
      <c r="A39" s="14" t="str">
        <f>IF(INDEX(Workers!$B:$B,ROW())="","",INDEX(Workers!$B:$B,ROW()))</f>
        <v/>
      </c>
      <c r="B39" s="21" t="str">
        <f>IF(INDEX(Workers!$C:$C,ROW())="","",INDEX(Workers!$C:$C,ROW()))</f>
        <v/>
      </c>
      <c r="C39" s="21" t="str">
        <f>IF(INDEX(Workers!$D:$D,ROW())="","",INDEX(Workers!$D:$D,ROW()))</f>
        <v/>
      </c>
      <c r="D39" s="22" t="str">
        <f>IF(INDEX(Workers!$E:$E,ROW())="","",INDEX(Workers!$E:$E,ROW()))</f>
        <v/>
      </c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4" t="str">
        <f t="shared" si="0"/>
        <v/>
      </c>
      <c r="AK39" s="24" t="str">
        <f t="shared" si="1"/>
        <v/>
      </c>
      <c r="AL39" s="25" t="str">
        <f>IF(B39="","",AJ39*N(D39)+AK39*N(D39)/Setup!$B$6*Setup!$B$7)</f>
        <v/>
      </c>
      <c r="AM39" s="25" t="str">
        <f>IF(B39="","",SUMIFS(Payments!$D$5:$D$304,Payments!$B$5:$B$304,A39,Payments!$A$5:$A$304,"&gt;="&amp;DATE(Setup!$B$4,9,1),Payments!$A$5:$A$304,"&lt;="&amp;EOMONTH(DATE(Setup!$B$4,9,1),0)))</f>
        <v/>
      </c>
      <c r="AN39" s="25" t="str">
        <f t="shared" si="2"/>
        <v/>
      </c>
    </row>
    <row r="40" spans="1:40" x14ac:dyDescent="0.3">
      <c r="A40" s="14" t="str">
        <f>IF(INDEX(Workers!$B:$B,ROW())="","",INDEX(Workers!$B:$B,ROW()))</f>
        <v/>
      </c>
      <c r="B40" s="21" t="str">
        <f>IF(INDEX(Workers!$C:$C,ROW())="","",INDEX(Workers!$C:$C,ROW()))</f>
        <v/>
      </c>
      <c r="C40" s="21" t="str">
        <f>IF(INDEX(Workers!$D:$D,ROW())="","",INDEX(Workers!$D:$D,ROW()))</f>
        <v/>
      </c>
      <c r="D40" s="22" t="str">
        <f>IF(INDEX(Workers!$E:$E,ROW())="","",INDEX(Workers!$E:$E,ROW()))</f>
        <v/>
      </c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4" t="str">
        <f t="shared" si="0"/>
        <v/>
      </c>
      <c r="AK40" s="24" t="str">
        <f t="shared" si="1"/>
        <v/>
      </c>
      <c r="AL40" s="25" t="str">
        <f>IF(B40="","",AJ40*N(D40)+AK40*N(D40)/Setup!$B$6*Setup!$B$7)</f>
        <v/>
      </c>
      <c r="AM40" s="25" t="str">
        <f>IF(B40="","",SUMIFS(Payments!$D$5:$D$304,Payments!$B$5:$B$304,A40,Payments!$A$5:$A$304,"&gt;="&amp;DATE(Setup!$B$4,9,1),Payments!$A$5:$A$304,"&lt;="&amp;EOMONTH(DATE(Setup!$B$4,9,1),0)))</f>
        <v/>
      </c>
      <c r="AN40" s="25" t="str">
        <f t="shared" si="2"/>
        <v/>
      </c>
    </row>
    <row r="41" spans="1:40" x14ac:dyDescent="0.3">
      <c r="A41" s="14" t="str">
        <f>IF(INDEX(Workers!$B:$B,ROW())="","",INDEX(Workers!$B:$B,ROW()))</f>
        <v/>
      </c>
      <c r="B41" s="21" t="str">
        <f>IF(INDEX(Workers!$C:$C,ROW())="","",INDEX(Workers!$C:$C,ROW()))</f>
        <v/>
      </c>
      <c r="C41" s="21" t="str">
        <f>IF(INDEX(Workers!$D:$D,ROW())="","",INDEX(Workers!$D:$D,ROW()))</f>
        <v/>
      </c>
      <c r="D41" s="22" t="str">
        <f>IF(INDEX(Workers!$E:$E,ROW())="","",INDEX(Workers!$E:$E,ROW()))</f>
        <v/>
      </c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4" t="str">
        <f t="shared" si="0"/>
        <v/>
      </c>
      <c r="AK41" s="24" t="str">
        <f t="shared" si="1"/>
        <v/>
      </c>
      <c r="AL41" s="25" t="str">
        <f>IF(B41="","",AJ41*N(D41)+AK41*N(D41)/Setup!$B$6*Setup!$B$7)</f>
        <v/>
      </c>
      <c r="AM41" s="25" t="str">
        <f>IF(B41="","",SUMIFS(Payments!$D$5:$D$304,Payments!$B$5:$B$304,A41,Payments!$A$5:$A$304,"&gt;="&amp;DATE(Setup!$B$4,9,1),Payments!$A$5:$A$304,"&lt;="&amp;EOMONTH(DATE(Setup!$B$4,9,1),0)))</f>
        <v/>
      </c>
      <c r="AN41" s="25" t="str">
        <f t="shared" si="2"/>
        <v/>
      </c>
    </row>
    <row r="42" spans="1:40" x14ac:dyDescent="0.3">
      <c r="A42" s="14" t="str">
        <f>IF(INDEX(Workers!$B:$B,ROW())="","",INDEX(Workers!$B:$B,ROW()))</f>
        <v/>
      </c>
      <c r="B42" s="21" t="str">
        <f>IF(INDEX(Workers!$C:$C,ROW())="","",INDEX(Workers!$C:$C,ROW()))</f>
        <v/>
      </c>
      <c r="C42" s="21" t="str">
        <f>IF(INDEX(Workers!$D:$D,ROW())="","",INDEX(Workers!$D:$D,ROW()))</f>
        <v/>
      </c>
      <c r="D42" s="22" t="str">
        <f>IF(INDEX(Workers!$E:$E,ROW())="","",INDEX(Workers!$E:$E,ROW()))</f>
        <v/>
      </c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4" t="str">
        <f t="shared" si="0"/>
        <v/>
      </c>
      <c r="AK42" s="24" t="str">
        <f t="shared" si="1"/>
        <v/>
      </c>
      <c r="AL42" s="25" t="str">
        <f>IF(B42="","",AJ42*N(D42)+AK42*N(D42)/Setup!$B$6*Setup!$B$7)</f>
        <v/>
      </c>
      <c r="AM42" s="25" t="str">
        <f>IF(B42="","",SUMIFS(Payments!$D$5:$D$304,Payments!$B$5:$B$304,A42,Payments!$A$5:$A$304,"&gt;="&amp;DATE(Setup!$B$4,9,1),Payments!$A$5:$A$304,"&lt;="&amp;EOMONTH(DATE(Setup!$B$4,9,1),0)))</f>
        <v/>
      </c>
      <c r="AN42" s="25" t="str">
        <f t="shared" si="2"/>
        <v/>
      </c>
    </row>
    <row r="43" spans="1:40" x14ac:dyDescent="0.3">
      <c r="A43" s="14" t="str">
        <f>IF(INDEX(Workers!$B:$B,ROW())="","",INDEX(Workers!$B:$B,ROW()))</f>
        <v/>
      </c>
      <c r="B43" s="21" t="str">
        <f>IF(INDEX(Workers!$C:$C,ROW())="","",INDEX(Workers!$C:$C,ROW()))</f>
        <v/>
      </c>
      <c r="C43" s="21" t="str">
        <f>IF(INDEX(Workers!$D:$D,ROW())="","",INDEX(Workers!$D:$D,ROW()))</f>
        <v/>
      </c>
      <c r="D43" s="22" t="str">
        <f>IF(INDEX(Workers!$E:$E,ROW())="","",INDEX(Workers!$E:$E,ROW()))</f>
        <v/>
      </c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4" t="str">
        <f t="shared" si="0"/>
        <v/>
      </c>
      <c r="AK43" s="24" t="str">
        <f t="shared" si="1"/>
        <v/>
      </c>
      <c r="AL43" s="25" t="str">
        <f>IF(B43="","",AJ43*N(D43)+AK43*N(D43)/Setup!$B$6*Setup!$B$7)</f>
        <v/>
      </c>
      <c r="AM43" s="25" t="str">
        <f>IF(B43="","",SUMIFS(Payments!$D$5:$D$304,Payments!$B$5:$B$304,A43,Payments!$A$5:$A$304,"&gt;="&amp;DATE(Setup!$B$4,9,1),Payments!$A$5:$A$304,"&lt;="&amp;EOMONTH(DATE(Setup!$B$4,9,1),0)))</f>
        <v/>
      </c>
      <c r="AN43" s="25" t="str">
        <f t="shared" si="2"/>
        <v/>
      </c>
    </row>
    <row r="44" spans="1:40" x14ac:dyDescent="0.3">
      <c r="A44" s="14" t="str">
        <f>IF(INDEX(Workers!$B:$B,ROW())="","",INDEX(Workers!$B:$B,ROW()))</f>
        <v/>
      </c>
      <c r="B44" s="21" t="str">
        <f>IF(INDEX(Workers!$C:$C,ROW())="","",INDEX(Workers!$C:$C,ROW()))</f>
        <v/>
      </c>
      <c r="C44" s="21" t="str">
        <f>IF(INDEX(Workers!$D:$D,ROW())="","",INDEX(Workers!$D:$D,ROW()))</f>
        <v/>
      </c>
      <c r="D44" s="22" t="str">
        <f>IF(INDEX(Workers!$E:$E,ROW())="","",INDEX(Workers!$E:$E,ROW()))</f>
        <v/>
      </c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4" t="str">
        <f t="shared" si="0"/>
        <v/>
      </c>
      <c r="AK44" s="24" t="str">
        <f t="shared" si="1"/>
        <v/>
      </c>
      <c r="AL44" s="25" t="str">
        <f>IF(B44="","",AJ44*N(D44)+AK44*N(D44)/Setup!$B$6*Setup!$B$7)</f>
        <v/>
      </c>
      <c r="AM44" s="25" t="str">
        <f>IF(B44="","",SUMIFS(Payments!$D$5:$D$304,Payments!$B$5:$B$304,A44,Payments!$A$5:$A$304,"&gt;="&amp;DATE(Setup!$B$4,9,1),Payments!$A$5:$A$304,"&lt;="&amp;EOMONTH(DATE(Setup!$B$4,9,1),0)))</f>
        <v/>
      </c>
      <c r="AN44" s="25" t="str">
        <f t="shared" si="2"/>
        <v/>
      </c>
    </row>
    <row r="45" spans="1:40" x14ac:dyDescent="0.3">
      <c r="A45" s="26"/>
      <c r="B45" s="26" t="s">
        <v>88</v>
      </c>
      <c r="C45" s="26"/>
      <c r="D45" s="26"/>
      <c r="E45" s="27">
        <f t="shared" ref="E45:AI45" si="3">IF(E$3="","",COUNTIF(E5:E44,"P")+COUNTIF(E5:E44,"H")+COUNT(E5:E44))</f>
        <v>0</v>
      </c>
      <c r="F45" s="27">
        <f t="shared" si="3"/>
        <v>0</v>
      </c>
      <c r="G45" s="27">
        <f t="shared" si="3"/>
        <v>0</v>
      </c>
      <c r="H45" s="27">
        <f t="shared" si="3"/>
        <v>0</v>
      </c>
      <c r="I45" s="27">
        <f t="shared" si="3"/>
        <v>0</v>
      </c>
      <c r="J45" s="27">
        <f t="shared" si="3"/>
        <v>0</v>
      </c>
      <c r="K45" s="27">
        <f t="shared" si="3"/>
        <v>0</v>
      </c>
      <c r="L45" s="27">
        <f t="shared" si="3"/>
        <v>0</v>
      </c>
      <c r="M45" s="27">
        <f t="shared" si="3"/>
        <v>0</v>
      </c>
      <c r="N45" s="27">
        <f t="shared" si="3"/>
        <v>0</v>
      </c>
      <c r="O45" s="27">
        <f t="shared" si="3"/>
        <v>0</v>
      </c>
      <c r="P45" s="27">
        <f t="shared" si="3"/>
        <v>0</v>
      </c>
      <c r="Q45" s="27">
        <f t="shared" si="3"/>
        <v>0</v>
      </c>
      <c r="R45" s="27">
        <f t="shared" si="3"/>
        <v>0</v>
      </c>
      <c r="S45" s="27">
        <f t="shared" si="3"/>
        <v>0</v>
      </c>
      <c r="T45" s="27">
        <f t="shared" si="3"/>
        <v>0</v>
      </c>
      <c r="U45" s="27">
        <f t="shared" si="3"/>
        <v>0</v>
      </c>
      <c r="V45" s="27">
        <f t="shared" si="3"/>
        <v>0</v>
      </c>
      <c r="W45" s="27">
        <f t="shared" si="3"/>
        <v>0</v>
      </c>
      <c r="X45" s="27">
        <f t="shared" si="3"/>
        <v>0</v>
      </c>
      <c r="Y45" s="27">
        <f t="shared" si="3"/>
        <v>0</v>
      </c>
      <c r="Z45" s="27">
        <f t="shared" si="3"/>
        <v>0</v>
      </c>
      <c r="AA45" s="27">
        <f t="shared" si="3"/>
        <v>0</v>
      </c>
      <c r="AB45" s="27">
        <f t="shared" si="3"/>
        <v>0</v>
      </c>
      <c r="AC45" s="27">
        <f t="shared" si="3"/>
        <v>0</v>
      </c>
      <c r="AD45" s="27">
        <f t="shared" si="3"/>
        <v>0</v>
      </c>
      <c r="AE45" s="27">
        <f t="shared" si="3"/>
        <v>0</v>
      </c>
      <c r="AF45" s="27">
        <f t="shared" si="3"/>
        <v>0</v>
      </c>
      <c r="AG45" s="27">
        <f t="shared" si="3"/>
        <v>0</v>
      </c>
      <c r="AH45" s="27">
        <f t="shared" si="3"/>
        <v>0</v>
      </c>
      <c r="AI45" s="27" t="str">
        <f t="shared" si="3"/>
        <v/>
      </c>
      <c r="AJ45" s="28">
        <f>SUM(AJ5:AJ44)</f>
        <v>0</v>
      </c>
      <c r="AK45" s="28">
        <f>SUM(AK5:AK44)</f>
        <v>0</v>
      </c>
      <c r="AL45" s="29">
        <f>SUM(AL5:AL44)</f>
        <v>0</v>
      </c>
      <c r="AM45" s="29">
        <f>SUM(AM5:AM44)</f>
        <v>0</v>
      </c>
      <c r="AN45" s="29">
        <f>SUM(AN5:AN44)</f>
        <v>0</v>
      </c>
    </row>
  </sheetData>
  <conditionalFormatting sqref="E3:AI3">
    <cfRule type="expression" dxfId="27" priority="2">
      <formula>E$3="Sun"</formula>
    </cfRule>
  </conditionalFormatting>
  <conditionalFormatting sqref="E3:AI45">
    <cfRule type="expression" dxfId="26" priority="1">
      <formula>E$3=""</formula>
    </cfRule>
  </conditionalFormatting>
  <conditionalFormatting sqref="E5:AI44">
    <cfRule type="expression" dxfId="25" priority="6">
      <formula>E5="A"</formula>
    </cfRule>
    <cfRule type="expression" dxfId="24" priority="7">
      <formula>E5="H"</formula>
    </cfRule>
    <cfRule type="expression" dxfId="23" priority="8">
      <formula>ISNUMBER(E5)</formula>
    </cfRule>
  </conditionalFormatting>
  <conditionalFormatting sqref="E5:AI45">
    <cfRule type="expression" dxfId="22" priority="4">
      <formula>E$3="Sun"</formula>
    </cfRule>
  </conditionalFormatting>
  <conditionalFormatting sqref="AN5:AN44">
    <cfRule type="expression" dxfId="21" priority="9">
      <formula>AN5&lt;0</formula>
    </cfRule>
  </conditionalFormatting>
  <dataValidations count="1">
    <dataValidation type="custom" allowBlank="1" showErrorMessage="1" errorTitle="Attendance code" error="Type P, H, A, L, or the number of overtime hours (0 to 12). Shaded days do not exist in this month." sqref="E5:AI44" xr:uid="{00000000-0002-0000-0B00-000000000000}">
      <formula1>AND(E$3&lt;&gt;"",OR(E5="P",E5="H",E5="A",E5="L",AND(ISNUMBER(E5),E5&gt;=0,E5&lt;=12)))</formula1>
    </dataValidation>
  </dataValidations>
  <printOptions horizontalCentered="1"/>
  <pageMargins left="0.45" right="0.45" top="0.6" bottom="0.6" header="0.3" footer="0.3"/>
  <pageSetup paperSize="9" scale="66" orientation="landscape" r:id="rId1"/>
  <headerFooter>
    <oddFooter>&amp;L&amp;8Free from NirmanDost - nirmandost.in - sign up for more free tools&amp;R&amp;8Page &amp;P of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N45"/>
  <sheetViews>
    <sheetView showGridLines="0" workbookViewId="0">
      <pane xSplit="4" ySplit="4" topLeftCell="E5" activePane="bottomRight" state="frozen"/>
      <selection pane="topRight"/>
      <selection pane="bottomLeft"/>
      <selection pane="bottomRight"/>
    </sheetView>
  </sheetViews>
  <sheetFormatPr defaultRowHeight="14.4" x14ac:dyDescent="0.3"/>
  <cols>
    <col min="1" max="1" width="7" customWidth="1"/>
    <col min="2" max="2" width="24" customWidth="1"/>
    <col min="3" max="3" width="11" customWidth="1"/>
    <col min="4" max="4" width="9" customWidth="1"/>
    <col min="5" max="35" width="3.5546875" customWidth="1"/>
    <col min="36" max="37" width="6.44140625" customWidth="1"/>
    <col min="38" max="38" width="12" customWidth="1"/>
    <col min="39" max="40" width="11" customWidth="1"/>
  </cols>
  <sheetData>
    <row r="1" spans="1:40" ht="17.399999999999999" x14ac:dyDescent="0.3">
      <c r="A1" s="18" t="str">
        <f>"Attendance - "&amp;TEXT(DATE(Setup!$B$4,10,1),"mmmm yyyy")&amp;"   "&amp;Setup!$B$5</f>
        <v>Attendance - October 2026   Type the site name</v>
      </c>
    </row>
    <row r="2" spans="1:40" x14ac:dyDescent="0.3">
      <c r="A2" s="19" t="s">
        <v>49</v>
      </c>
    </row>
    <row r="3" spans="1:40" x14ac:dyDescent="0.3">
      <c r="E3" s="20" t="str">
        <f>IF(1&gt;DAY(EOMONTH(DATE(Setup!$B$4,10,1),0)),"",TEXT(DATE(Setup!$B$4,10,1),"ddd"))</f>
        <v>Thu</v>
      </c>
      <c r="F3" s="20" t="str">
        <f>IF(2&gt;DAY(EOMONTH(DATE(Setup!$B$4,10,1),0)),"",TEXT(DATE(Setup!$B$4,10,2),"ddd"))</f>
        <v>Fri</v>
      </c>
      <c r="G3" s="20" t="str">
        <f>IF(3&gt;DAY(EOMONTH(DATE(Setup!$B$4,10,1),0)),"",TEXT(DATE(Setup!$B$4,10,3),"ddd"))</f>
        <v>Sat</v>
      </c>
      <c r="H3" s="20" t="str">
        <f>IF(4&gt;DAY(EOMONTH(DATE(Setup!$B$4,10,1),0)),"",TEXT(DATE(Setup!$B$4,10,4),"ddd"))</f>
        <v>Sun</v>
      </c>
      <c r="I3" s="20" t="str">
        <f>IF(5&gt;DAY(EOMONTH(DATE(Setup!$B$4,10,1),0)),"",TEXT(DATE(Setup!$B$4,10,5),"ddd"))</f>
        <v>Mon</v>
      </c>
      <c r="J3" s="20" t="str">
        <f>IF(6&gt;DAY(EOMONTH(DATE(Setup!$B$4,10,1),0)),"",TEXT(DATE(Setup!$B$4,10,6),"ddd"))</f>
        <v>Tue</v>
      </c>
      <c r="K3" s="20" t="str">
        <f>IF(7&gt;DAY(EOMONTH(DATE(Setup!$B$4,10,1),0)),"",TEXT(DATE(Setup!$B$4,10,7),"ddd"))</f>
        <v>Wed</v>
      </c>
      <c r="L3" s="20" t="str">
        <f>IF(8&gt;DAY(EOMONTH(DATE(Setup!$B$4,10,1),0)),"",TEXT(DATE(Setup!$B$4,10,8),"ddd"))</f>
        <v>Thu</v>
      </c>
      <c r="M3" s="20" t="str">
        <f>IF(9&gt;DAY(EOMONTH(DATE(Setup!$B$4,10,1),0)),"",TEXT(DATE(Setup!$B$4,10,9),"ddd"))</f>
        <v>Fri</v>
      </c>
      <c r="N3" s="20" t="str">
        <f>IF(10&gt;DAY(EOMONTH(DATE(Setup!$B$4,10,1),0)),"",TEXT(DATE(Setup!$B$4,10,10),"ddd"))</f>
        <v>Sat</v>
      </c>
      <c r="O3" s="20" t="str">
        <f>IF(11&gt;DAY(EOMONTH(DATE(Setup!$B$4,10,1),0)),"",TEXT(DATE(Setup!$B$4,10,11),"ddd"))</f>
        <v>Sun</v>
      </c>
      <c r="P3" s="20" t="str">
        <f>IF(12&gt;DAY(EOMONTH(DATE(Setup!$B$4,10,1),0)),"",TEXT(DATE(Setup!$B$4,10,12),"ddd"))</f>
        <v>Mon</v>
      </c>
      <c r="Q3" s="20" t="str">
        <f>IF(13&gt;DAY(EOMONTH(DATE(Setup!$B$4,10,1),0)),"",TEXT(DATE(Setup!$B$4,10,13),"ddd"))</f>
        <v>Tue</v>
      </c>
      <c r="R3" s="20" t="str">
        <f>IF(14&gt;DAY(EOMONTH(DATE(Setup!$B$4,10,1),0)),"",TEXT(DATE(Setup!$B$4,10,14),"ddd"))</f>
        <v>Wed</v>
      </c>
      <c r="S3" s="20" t="str">
        <f>IF(15&gt;DAY(EOMONTH(DATE(Setup!$B$4,10,1),0)),"",TEXT(DATE(Setup!$B$4,10,15),"ddd"))</f>
        <v>Thu</v>
      </c>
      <c r="T3" s="20" t="str">
        <f>IF(16&gt;DAY(EOMONTH(DATE(Setup!$B$4,10,1),0)),"",TEXT(DATE(Setup!$B$4,10,16),"ddd"))</f>
        <v>Fri</v>
      </c>
      <c r="U3" s="20" t="str">
        <f>IF(17&gt;DAY(EOMONTH(DATE(Setup!$B$4,10,1),0)),"",TEXT(DATE(Setup!$B$4,10,17),"ddd"))</f>
        <v>Sat</v>
      </c>
      <c r="V3" s="20" t="str">
        <f>IF(18&gt;DAY(EOMONTH(DATE(Setup!$B$4,10,1),0)),"",TEXT(DATE(Setup!$B$4,10,18),"ddd"))</f>
        <v>Sun</v>
      </c>
      <c r="W3" s="20" t="str">
        <f>IF(19&gt;DAY(EOMONTH(DATE(Setup!$B$4,10,1),0)),"",TEXT(DATE(Setup!$B$4,10,19),"ddd"))</f>
        <v>Mon</v>
      </c>
      <c r="X3" s="20" t="str">
        <f>IF(20&gt;DAY(EOMONTH(DATE(Setup!$B$4,10,1),0)),"",TEXT(DATE(Setup!$B$4,10,20),"ddd"))</f>
        <v>Tue</v>
      </c>
      <c r="Y3" s="20" t="str">
        <f>IF(21&gt;DAY(EOMONTH(DATE(Setup!$B$4,10,1),0)),"",TEXT(DATE(Setup!$B$4,10,21),"ddd"))</f>
        <v>Wed</v>
      </c>
      <c r="Z3" s="20" t="str">
        <f>IF(22&gt;DAY(EOMONTH(DATE(Setup!$B$4,10,1),0)),"",TEXT(DATE(Setup!$B$4,10,22),"ddd"))</f>
        <v>Thu</v>
      </c>
      <c r="AA3" s="20" t="str">
        <f>IF(23&gt;DAY(EOMONTH(DATE(Setup!$B$4,10,1),0)),"",TEXT(DATE(Setup!$B$4,10,23),"ddd"))</f>
        <v>Fri</v>
      </c>
      <c r="AB3" s="20" t="str">
        <f>IF(24&gt;DAY(EOMONTH(DATE(Setup!$B$4,10,1),0)),"",TEXT(DATE(Setup!$B$4,10,24),"ddd"))</f>
        <v>Sat</v>
      </c>
      <c r="AC3" s="20" t="str">
        <f>IF(25&gt;DAY(EOMONTH(DATE(Setup!$B$4,10,1),0)),"",TEXT(DATE(Setup!$B$4,10,25),"ddd"))</f>
        <v>Sun</v>
      </c>
      <c r="AD3" s="20" t="str">
        <f>IF(26&gt;DAY(EOMONTH(DATE(Setup!$B$4,10,1),0)),"",TEXT(DATE(Setup!$B$4,10,26),"ddd"))</f>
        <v>Mon</v>
      </c>
      <c r="AE3" s="20" t="str">
        <f>IF(27&gt;DAY(EOMONTH(DATE(Setup!$B$4,10,1),0)),"",TEXT(DATE(Setup!$B$4,10,27),"ddd"))</f>
        <v>Tue</v>
      </c>
      <c r="AF3" s="20" t="str">
        <f>IF(28&gt;DAY(EOMONTH(DATE(Setup!$B$4,10,1),0)),"",TEXT(DATE(Setup!$B$4,10,28),"ddd"))</f>
        <v>Wed</v>
      </c>
      <c r="AG3" s="20" t="str">
        <f>IF(29&gt;DAY(EOMONTH(DATE(Setup!$B$4,10,1),0)),"",TEXT(DATE(Setup!$B$4,10,29),"ddd"))</f>
        <v>Thu</v>
      </c>
      <c r="AH3" s="20" t="str">
        <f>IF(30&gt;DAY(EOMONTH(DATE(Setup!$B$4,10,1),0)),"",TEXT(DATE(Setup!$B$4,10,30),"ddd"))</f>
        <v>Fri</v>
      </c>
      <c r="AI3" s="20" t="str">
        <f>IF(31&gt;DAY(EOMONTH(DATE(Setup!$B$4,10,1),0)),"",TEXT(DATE(Setup!$B$4,10,31),"ddd"))</f>
        <v>Sat</v>
      </c>
    </row>
    <row r="4" spans="1:40" ht="28.05" customHeight="1" x14ac:dyDescent="0.3">
      <c r="A4" s="13" t="s">
        <v>50</v>
      </c>
      <c r="B4" s="13" t="s">
        <v>37</v>
      </c>
      <c r="C4" s="13" t="s">
        <v>38</v>
      </c>
      <c r="D4" s="13" t="s">
        <v>51</v>
      </c>
      <c r="E4" s="13" t="s">
        <v>52</v>
      </c>
      <c r="F4" s="13" t="s">
        <v>53</v>
      </c>
      <c r="G4" s="13" t="s">
        <v>54</v>
      </c>
      <c r="H4" s="13" t="s">
        <v>55</v>
      </c>
      <c r="I4" s="13" t="s">
        <v>56</v>
      </c>
      <c r="J4" s="13" t="s">
        <v>57</v>
      </c>
      <c r="K4" s="13" t="s">
        <v>58</v>
      </c>
      <c r="L4" s="13" t="s">
        <v>59</v>
      </c>
      <c r="M4" s="13" t="s">
        <v>60</v>
      </c>
      <c r="N4" s="13" t="s">
        <v>61</v>
      </c>
      <c r="O4" s="13" t="s">
        <v>62</v>
      </c>
      <c r="P4" s="13" t="s">
        <v>63</v>
      </c>
      <c r="Q4" s="13" t="s">
        <v>64</v>
      </c>
      <c r="R4" s="13" t="s">
        <v>65</v>
      </c>
      <c r="S4" s="13" t="s">
        <v>66</v>
      </c>
      <c r="T4" s="13" t="s">
        <v>67</v>
      </c>
      <c r="U4" s="13" t="s">
        <v>68</v>
      </c>
      <c r="V4" s="13" t="s">
        <v>69</v>
      </c>
      <c r="W4" s="13" t="s">
        <v>70</v>
      </c>
      <c r="X4" s="13" t="s">
        <v>71</v>
      </c>
      <c r="Y4" s="13" t="s">
        <v>72</v>
      </c>
      <c r="Z4" s="13" t="s">
        <v>73</v>
      </c>
      <c r="AA4" s="13" t="s">
        <v>74</v>
      </c>
      <c r="AB4" s="13" t="s">
        <v>75</v>
      </c>
      <c r="AC4" s="13" t="s">
        <v>76</v>
      </c>
      <c r="AD4" s="13" t="s">
        <v>77</v>
      </c>
      <c r="AE4" s="13" t="s">
        <v>78</v>
      </c>
      <c r="AF4" s="13" t="s">
        <v>79</v>
      </c>
      <c r="AG4" s="13" t="s">
        <v>80</v>
      </c>
      <c r="AH4" s="13" t="s">
        <v>81</v>
      </c>
      <c r="AI4" s="13" t="s">
        <v>82</v>
      </c>
      <c r="AJ4" s="13" t="s">
        <v>83</v>
      </c>
      <c r="AK4" s="13" t="s">
        <v>84</v>
      </c>
      <c r="AL4" s="13" t="s">
        <v>85</v>
      </c>
      <c r="AM4" s="13" t="s">
        <v>86</v>
      </c>
      <c r="AN4" s="13" t="s">
        <v>87</v>
      </c>
    </row>
    <row r="5" spans="1:40" x14ac:dyDescent="0.3">
      <c r="A5" s="14" t="str">
        <f>IF(INDEX(Workers!$B:$B,ROW())="","",INDEX(Workers!$B:$B,ROW()))</f>
        <v>W-01</v>
      </c>
      <c r="B5" s="21" t="str">
        <f>IF(INDEX(Workers!$C:$C,ROW())="","",INDEX(Workers!$C:$C,ROW()))</f>
        <v>Ramesh (EXAMPLE, clear me)</v>
      </c>
      <c r="C5" s="21" t="str">
        <f>IF(INDEX(Workers!$D:$D,ROW())="","",INDEX(Workers!$D:$D,ROW()))</f>
        <v>Mason</v>
      </c>
      <c r="D5" s="22">
        <f>IF(INDEX(Workers!$E:$E,ROW())="","",INDEX(Workers!$E:$E,ROW()))</f>
        <v>900</v>
      </c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4">
        <f t="shared" ref="AJ5:AJ44" si="0">IF(B5="","",SUMPRODUCT((E$3:AI$3&lt;&gt;"")*(E5:AI5="P"))+0.5*SUMPRODUCT((E$3:AI$3&lt;&gt;"")*(E5:AI5="H"))+SUMPRODUCT((E$3:AI$3&lt;&gt;"")*ISNUMBER(E5:AI5)))</f>
        <v>0</v>
      </c>
      <c r="AK5" s="24">
        <f t="shared" ref="AK5:AK44" si="1">IF(B5="","",SUMPRODUCT((E$3:AI$3&lt;&gt;"")*ISNUMBER(E5:AI5),E5:AI5))</f>
        <v>0</v>
      </c>
      <c r="AL5" s="25">
        <f>IF(B5="","",AJ5*N(D5)+AK5*N(D5)/Setup!$B$6*Setup!$B$7)</f>
        <v>0</v>
      </c>
      <c r="AM5" s="25">
        <f>IF(B5="","",SUMIFS(Payments!$D$5:$D$304,Payments!$B$5:$B$304,A5,Payments!$A$5:$A$304,"&gt;="&amp;DATE(Setup!$B$4,10,1),Payments!$A$5:$A$304,"&lt;="&amp;EOMONTH(DATE(Setup!$B$4,10,1),0)))</f>
        <v>2000</v>
      </c>
      <c r="AN5" s="25">
        <f t="shared" ref="AN5:AN44" si="2">IF(B5="","",AL5-AM5)</f>
        <v>-2000</v>
      </c>
    </row>
    <row r="6" spans="1:40" x14ac:dyDescent="0.3">
      <c r="A6" s="14" t="str">
        <f>IF(INDEX(Workers!$B:$B,ROW())="","",INDEX(Workers!$B:$B,ROW()))</f>
        <v/>
      </c>
      <c r="B6" s="21" t="str">
        <f>IF(INDEX(Workers!$C:$C,ROW())="","",INDEX(Workers!$C:$C,ROW()))</f>
        <v/>
      </c>
      <c r="C6" s="21" t="str">
        <f>IF(INDEX(Workers!$D:$D,ROW())="","",INDEX(Workers!$D:$D,ROW()))</f>
        <v/>
      </c>
      <c r="D6" s="22" t="str">
        <f>IF(INDEX(Workers!$E:$E,ROW())="","",INDEX(Workers!$E:$E,ROW()))</f>
        <v/>
      </c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4" t="str">
        <f t="shared" si="0"/>
        <v/>
      </c>
      <c r="AK6" s="24" t="str">
        <f t="shared" si="1"/>
        <v/>
      </c>
      <c r="AL6" s="25" t="str">
        <f>IF(B6="","",AJ6*N(D6)+AK6*N(D6)/Setup!$B$6*Setup!$B$7)</f>
        <v/>
      </c>
      <c r="AM6" s="25" t="str">
        <f>IF(B6="","",SUMIFS(Payments!$D$5:$D$304,Payments!$B$5:$B$304,A6,Payments!$A$5:$A$304,"&gt;="&amp;DATE(Setup!$B$4,10,1),Payments!$A$5:$A$304,"&lt;="&amp;EOMONTH(DATE(Setup!$B$4,10,1),0)))</f>
        <v/>
      </c>
      <c r="AN6" s="25" t="str">
        <f t="shared" si="2"/>
        <v/>
      </c>
    </row>
    <row r="7" spans="1:40" x14ac:dyDescent="0.3">
      <c r="A7" s="14" t="str">
        <f>IF(INDEX(Workers!$B:$B,ROW())="","",INDEX(Workers!$B:$B,ROW()))</f>
        <v/>
      </c>
      <c r="B7" s="21" t="str">
        <f>IF(INDEX(Workers!$C:$C,ROW())="","",INDEX(Workers!$C:$C,ROW()))</f>
        <v/>
      </c>
      <c r="C7" s="21" t="str">
        <f>IF(INDEX(Workers!$D:$D,ROW())="","",INDEX(Workers!$D:$D,ROW()))</f>
        <v/>
      </c>
      <c r="D7" s="22" t="str">
        <f>IF(INDEX(Workers!$E:$E,ROW())="","",INDEX(Workers!$E:$E,ROW()))</f>
        <v/>
      </c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4" t="str">
        <f t="shared" si="0"/>
        <v/>
      </c>
      <c r="AK7" s="24" t="str">
        <f t="shared" si="1"/>
        <v/>
      </c>
      <c r="AL7" s="25" t="str">
        <f>IF(B7="","",AJ7*N(D7)+AK7*N(D7)/Setup!$B$6*Setup!$B$7)</f>
        <v/>
      </c>
      <c r="AM7" s="25" t="str">
        <f>IF(B7="","",SUMIFS(Payments!$D$5:$D$304,Payments!$B$5:$B$304,A7,Payments!$A$5:$A$304,"&gt;="&amp;DATE(Setup!$B$4,10,1),Payments!$A$5:$A$304,"&lt;="&amp;EOMONTH(DATE(Setup!$B$4,10,1),0)))</f>
        <v/>
      </c>
      <c r="AN7" s="25" t="str">
        <f t="shared" si="2"/>
        <v/>
      </c>
    </row>
    <row r="8" spans="1:40" x14ac:dyDescent="0.3">
      <c r="A8" s="14" t="str">
        <f>IF(INDEX(Workers!$B:$B,ROW())="","",INDEX(Workers!$B:$B,ROW()))</f>
        <v/>
      </c>
      <c r="B8" s="21" t="str">
        <f>IF(INDEX(Workers!$C:$C,ROW())="","",INDEX(Workers!$C:$C,ROW()))</f>
        <v/>
      </c>
      <c r="C8" s="21" t="str">
        <f>IF(INDEX(Workers!$D:$D,ROW())="","",INDEX(Workers!$D:$D,ROW()))</f>
        <v/>
      </c>
      <c r="D8" s="22" t="str">
        <f>IF(INDEX(Workers!$E:$E,ROW())="","",INDEX(Workers!$E:$E,ROW()))</f>
        <v/>
      </c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4" t="str">
        <f t="shared" si="0"/>
        <v/>
      </c>
      <c r="AK8" s="24" t="str">
        <f t="shared" si="1"/>
        <v/>
      </c>
      <c r="AL8" s="25" t="str">
        <f>IF(B8="","",AJ8*N(D8)+AK8*N(D8)/Setup!$B$6*Setup!$B$7)</f>
        <v/>
      </c>
      <c r="AM8" s="25" t="str">
        <f>IF(B8="","",SUMIFS(Payments!$D$5:$D$304,Payments!$B$5:$B$304,A8,Payments!$A$5:$A$304,"&gt;="&amp;DATE(Setup!$B$4,10,1),Payments!$A$5:$A$304,"&lt;="&amp;EOMONTH(DATE(Setup!$B$4,10,1),0)))</f>
        <v/>
      </c>
      <c r="AN8" s="25" t="str">
        <f t="shared" si="2"/>
        <v/>
      </c>
    </row>
    <row r="9" spans="1:40" x14ac:dyDescent="0.3">
      <c r="A9" s="14" t="str">
        <f>IF(INDEX(Workers!$B:$B,ROW())="","",INDEX(Workers!$B:$B,ROW()))</f>
        <v/>
      </c>
      <c r="B9" s="21" t="str">
        <f>IF(INDEX(Workers!$C:$C,ROW())="","",INDEX(Workers!$C:$C,ROW()))</f>
        <v/>
      </c>
      <c r="C9" s="21" t="str">
        <f>IF(INDEX(Workers!$D:$D,ROW())="","",INDEX(Workers!$D:$D,ROW()))</f>
        <v/>
      </c>
      <c r="D9" s="22" t="str">
        <f>IF(INDEX(Workers!$E:$E,ROW())="","",INDEX(Workers!$E:$E,ROW()))</f>
        <v/>
      </c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4" t="str">
        <f t="shared" si="0"/>
        <v/>
      </c>
      <c r="AK9" s="24" t="str">
        <f t="shared" si="1"/>
        <v/>
      </c>
      <c r="AL9" s="25" t="str">
        <f>IF(B9="","",AJ9*N(D9)+AK9*N(D9)/Setup!$B$6*Setup!$B$7)</f>
        <v/>
      </c>
      <c r="AM9" s="25" t="str">
        <f>IF(B9="","",SUMIFS(Payments!$D$5:$D$304,Payments!$B$5:$B$304,A9,Payments!$A$5:$A$304,"&gt;="&amp;DATE(Setup!$B$4,10,1),Payments!$A$5:$A$304,"&lt;="&amp;EOMONTH(DATE(Setup!$B$4,10,1),0)))</f>
        <v/>
      </c>
      <c r="AN9" s="25" t="str">
        <f t="shared" si="2"/>
        <v/>
      </c>
    </row>
    <row r="10" spans="1:40" x14ac:dyDescent="0.3">
      <c r="A10" s="14" t="str">
        <f>IF(INDEX(Workers!$B:$B,ROW())="","",INDEX(Workers!$B:$B,ROW()))</f>
        <v/>
      </c>
      <c r="B10" s="21" t="str">
        <f>IF(INDEX(Workers!$C:$C,ROW())="","",INDEX(Workers!$C:$C,ROW()))</f>
        <v/>
      </c>
      <c r="C10" s="21" t="str">
        <f>IF(INDEX(Workers!$D:$D,ROW())="","",INDEX(Workers!$D:$D,ROW()))</f>
        <v/>
      </c>
      <c r="D10" s="22" t="str">
        <f>IF(INDEX(Workers!$E:$E,ROW())="","",INDEX(Workers!$E:$E,ROW()))</f>
        <v/>
      </c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4" t="str">
        <f t="shared" si="0"/>
        <v/>
      </c>
      <c r="AK10" s="24" t="str">
        <f t="shared" si="1"/>
        <v/>
      </c>
      <c r="AL10" s="25" t="str">
        <f>IF(B10="","",AJ10*N(D10)+AK10*N(D10)/Setup!$B$6*Setup!$B$7)</f>
        <v/>
      </c>
      <c r="AM10" s="25" t="str">
        <f>IF(B10="","",SUMIFS(Payments!$D$5:$D$304,Payments!$B$5:$B$304,A10,Payments!$A$5:$A$304,"&gt;="&amp;DATE(Setup!$B$4,10,1),Payments!$A$5:$A$304,"&lt;="&amp;EOMONTH(DATE(Setup!$B$4,10,1),0)))</f>
        <v/>
      </c>
      <c r="AN10" s="25" t="str">
        <f t="shared" si="2"/>
        <v/>
      </c>
    </row>
    <row r="11" spans="1:40" x14ac:dyDescent="0.3">
      <c r="A11" s="14" t="str">
        <f>IF(INDEX(Workers!$B:$B,ROW())="","",INDEX(Workers!$B:$B,ROW()))</f>
        <v/>
      </c>
      <c r="B11" s="21" t="str">
        <f>IF(INDEX(Workers!$C:$C,ROW())="","",INDEX(Workers!$C:$C,ROW()))</f>
        <v/>
      </c>
      <c r="C11" s="21" t="str">
        <f>IF(INDEX(Workers!$D:$D,ROW())="","",INDEX(Workers!$D:$D,ROW()))</f>
        <v/>
      </c>
      <c r="D11" s="22" t="str">
        <f>IF(INDEX(Workers!$E:$E,ROW())="","",INDEX(Workers!$E:$E,ROW()))</f>
        <v/>
      </c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4" t="str">
        <f t="shared" si="0"/>
        <v/>
      </c>
      <c r="AK11" s="24" t="str">
        <f t="shared" si="1"/>
        <v/>
      </c>
      <c r="AL11" s="25" t="str">
        <f>IF(B11="","",AJ11*N(D11)+AK11*N(D11)/Setup!$B$6*Setup!$B$7)</f>
        <v/>
      </c>
      <c r="AM11" s="25" t="str">
        <f>IF(B11="","",SUMIFS(Payments!$D$5:$D$304,Payments!$B$5:$B$304,A11,Payments!$A$5:$A$304,"&gt;="&amp;DATE(Setup!$B$4,10,1),Payments!$A$5:$A$304,"&lt;="&amp;EOMONTH(DATE(Setup!$B$4,10,1),0)))</f>
        <v/>
      </c>
      <c r="AN11" s="25" t="str">
        <f t="shared" si="2"/>
        <v/>
      </c>
    </row>
    <row r="12" spans="1:40" x14ac:dyDescent="0.3">
      <c r="A12" s="14" t="str">
        <f>IF(INDEX(Workers!$B:$B,ROW())="","",INDEX(Workers!$B:$B,ROW()))</f>
        <v/>
      </c>
      <c r="B12" s="21" t="str">
        <f>IF(INDEX(Workers!$C:$C,ROW())="","",INDEX(Workers!$C:$C,ROW()))</f>
        <v/>
      </c>
      <c r="C12" s="21" t="str">
        <f>IF(INDEX(Workers!$D:$D,ROW())="","",INDEX(Workers!$D:$D,ROW()))</f>
        <v/>
      </c>
      <c r="D12" s="22" t="str">
        <f>IF(INDEX(Workers!$E:$E,ROW())="","",INDEX(Workers!$E:$E,ROW()))</f>
        <v/>
      </c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4" t="str">
        <f t="shared" si="0"/>
        <v/>
      </c>
      <c r="AK12" s="24" t="str">
        <f t="shared" si="1"/>
        <v/>
      </c>
      <c r="AL12" s="25" t="str">
        <f>IF(B12="","",AJ12*N(D12)+AK12*N(D12)/Setup!$B$6*Setup!$B$7)</f>
        <v/>
      </c>
      <c r="AM12" s="25" t="str">
        <f>IF(B12="","",SUMIFS(Payments!$D$5:$D$304,Payments!$B$5:$B$304,A12,Payments!$A$5:$A$304,"&gt;="&amp;DATE(Setup!$B$4,10,1),Payments!$A$5:$A$304,"&lt;="&amp;EOMONTH(DATE(Setup!$B$4,10,1),0)))</f>
        <v/>
      </c>
      <c r="AN12" s="25" t="str">
        <f t="shared" si="2"/>
        <v/>
      </c>
    </row>
    <row r="13" spans="1:40" x14ac:dyDescent="0.3">
      <c r="A13" s="14" t="str">
        <f>IF(INDEX(Workers!$B:$B,ROW())="","",INDEX(Workers!$B:$B,ROW()))</f>
        <v/>
      </c>
      <c r="B13" s="21" t="str">
        <f>IF(INDEX(Workers!$C:$C,ROW())="","",INDEX(Workers!$C:$C,ROW()))</f>
        <v/>
      </c>
      <c r="C13" s="21" t="str">
        <f>IF(INDEX(Workers!$D:$D,ROW())="","",INDEX(Workers!$D:$D,ROW()))</f>
        <v/>
      </c>
      <c r="D13" s="22" t="str">
        <f>IF(INDEX(Workers!$E:$E,ROW())="","",INDEX(Workers!$E:$E,ROW()))</f>
        <v/>
      </c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4" t="str">
        <f t="shared" si="0"/>
        <v/>
      </c>
      <c r="AK13" s="24" t="str">
        <f t="shared" si="1"/>
        <v/>
      </c>
      <c r="AL13" s="25" t="str">
        <f>IF(B13="","",AJ13*N(D13)+AK13*N(D13)/Setup!$B$6*Setup!$B$7)</f>
        <v/>
      </c>
      <c r="AM13" s="25" t="str">
        <f>IF(B13="","",SUMIFS(Payments!$D$5:$D$304,Payments!$B$5:$B$304,A13,Payments!$A$5:$A$304,"&gt;="&amp;DATE(Setup!$B$4,10,1),Payments!$A$5:$A$304,"&lt;="&amp;EOMONTH(DATE(Setup!$B$4,10,1),0)))</f>
        <v/>
      </c>
      <c r="AN13" s="25" t="str">
        <f t="shared" si="2"/>
        <v/>
      </c>
    </row>
    <row r="14" spans="1:40" x14ac:dyDescent="0.3">
      <c r="A14" s="14" t="str">
        <f>IF(INDEX(Workers!$B:$B,ROW())="","",INDEX(Workers!$B:$B,ROW()))</f>
        <v/>
      </c>
      <c r="B14" s="21" t="str">
        <f>IF(INDEX(Workers!$C:$C,ROW())="","",INDEX(Workers!$C:$C,ROW()))</f>
        <v/>
      </c>
      <c r="C14" s="21" t="str">
        <f>IF(INDEX(Workers!$D:$D,ROW())="","",INDEX(Workers!$D:$D,ROW()))</f>
        <v/>
      </c>
      <c r="D14" s="22" t="str">
        <f>IF(INDEX(Workers!$E:$E,ROW())="","",INDEX(Workers!$E:$E,ROW()))</f>
        <v/>
      </c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4" t="str">
        <f t="shared" si="0"/>
        <v/>
      </c>
      <c r="AK14" s="24" t="str">
        <f t="shared" si="1"/>
        <v/>
      </c>
      <c r="AL14" s="25" t="str">
        <f>IF(B14="","",AJ14*N(D14)+AK14*N(D14)/Setup!$B$6*Setup!$B$7)</f>
        <v/>
      </c>
      <c r="AM14" s="25" t="str">
        <f>IF(B14="","",SUMIFS(Payments!$D$5:$D$304,Payments!$B$5:$B$304,A14,Payments!$A$5:$A$304,"&gt;="&amp;DATE(Setup!$B$4,10,1),Payments!$A$5:$A$304,"&lt;="&amp;EOMONTH(DATE(Setup!$B$4,10,1),0)))</f>
        <v/>
      </c>
      <c r="AN14" s="25" t="str">
        <f t="shared" si="2"/>
        <v/>
      </c>
    </row>
    <row r="15" spans="1:40" x14ac:dyDescent="0.3">
      <c r="A15" s="14" t="str">
        <f>IF(INDEX(Workers!$B:$B,ROW())="","",INDEX(Workers!$B:$B,ROW()))</f>
        <v/>
      </c>
      <c r="B15" s="21" t="str">
        <f>IF(INDEX(Workers!$C:$C,ROW())="","",INDEX(Workers!$C:$C,ROW()))</f>
        <v/>
      </c>
      <c r="C15" s="21" t="str">
        <f>IF(INDEX(Workers!$D:$D,ROW())="","",INDEX(Workers!$D:$D,ROW()))</f>
        <v/>
      </c>
      <c r="D15" s="22" t="str">
        <f>IF(INDEX(Workers!$E:$E,ROW())="","",INDEX(Workers!$E:$E,ROW()))</f>
        <v/>
      </c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4" t="str">
        <f t="shared" si="0"/>
        <v/>
      </c>
      <c r="AK15" s="24" t="str">
        <f t="shared" si="1"/>
        <v/>
      </c>
      <c r="AL15" s="25" t="str">
        <f>IF(B15="","",AJ15*N(D15)+AK15*N(D15)/Setup!$B$6*Setup!$B$7)</f>
        <v/>
      </c>
      <c r="AM15" s="25" t="str">
        <f>IF(B15="","",SUMIFS(Payments!$D$5:$D$304,Payments!$B$5:$B$304,A15,Payments!$A$5:$A$304,"&gt;="&amp;DATE(Setup!$B$4,10,1),Payments!$A$5:$A$304,"&lt;="&amp;EOMONTH(DATE(Setup!$B$4,10,1),0)))</f>
        <v/>
      </c>
      <c r="AN15" s="25" t="str">
        <f t="shared" si="2"/>
        <v/>
      </c>
    </row>
    <row r="16" spans="1:40" x14ac:dyDescent="0.3">
      <c r="A16" s="14" t="str">
        <f>IF(INDEX(Workers!$B:$B,ROW())="","",INDEX(Workers!$B:$B,ROW()))</f>
        <v/>
      </c>
      <c r="B16" s="21" t="str">
        <f>IF(INDEX(Workers!$C:$C,ROW())="","",INDEX(Workers!$C:$C,ROW()))</f>
        <v/>
      </c>
      <c r="C16" s="21" t="str">
        <f>IF(INDEX(Workers!$D:$D,ROW())="","",INDEX(Workers!$D:$D,ROW()))</f>
        <v/>
      </c>
      <c r="D16" s="22" t="str">
        <f>IF(INDEX(Workers!$E:$E,ROW())="","",INDEX(Workers!$E:$E,ROW()))</f>
        <v/>
      </c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4" t="str">
        <f t="shared" si="0"/>
        <v/>
      </c>
      <c r="AK16" s="24" t="str">
        <f t="shared" si="1"/>
        <v/>
      </c>
      <c r="AL16" s="25" t="str">
        <f>IF(B16="","",AJ16*N(D16)+AK16*N(D16)/Setup!$B$6*Setup!$B$7)</f>
        <v/>
      </c>
      <c r="AM16" s="25" t="str">
        <f>IF(B16="","",SUMIFS(Payments!$D$5:$D$304,Payments!$B$5:$B$304,A16,Payments!$A$5:$A$304,"&gt;="&amp;DATE(Setup!$B$4,10,1),Payments!$A$5:$A$304,"&lt;="&amp;EOMONTH(DATE(Setup!$B$4,10,1),0)))</f>
        <v/>
      </c>
      <c r="AN16" s="25" t="str">
        <f t="shared" si="2"/>
        <v/>
      </c>
    </row>
    <row r="17" spans="1:40" x14ac:dyDescent="0.3">
      <c r="A17" s="14" t="str">
        <f>IF(INDEX(Workers!$B:$B,ROW())="","",INDEX(Workers!$B:$B,ROW()))</f>
        <v/>
      </c>
      <c r="B17" s="21" t="str">
        <f>IF(INDEX(Workers!$C:$C,ROW())="","",INDEX(Workers!$C:$C,ROW()))</f>
        <v/>
      </c>
      <c r="C17" s="21" t="str">
        <f>IF(INDEX(Workers!$D:$D,ROW())="","",INDEX(Workers!$D:$D,ROW()))</f>
        <v/>
      </c>
      <c r="D17" s="22" t="str">
        <f>IF(INDEX(Workers!$E:$E,ROW())="","",INDEX(Workers!$E:$E,ROW()))</f>
        <v/>
      </c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4" t="str">
        <f t="shared" si="0"/>
        <v/>
      </c>
      <c r="AK17" s="24" t="str">
        <f t="shared" si="1"/>
        <v/>
      </c>
      <c r="AL17" s="25" t="str">
        <f>IF(B17="","",AJ17*N(D17)+AK17*N(D17)/Setup!$B$6*Setup!$B$7)</f>
        <v/>
      </c>
      <c r="AM17" s="25" t="str">
        <f>IF(B17="","",SUMIFS(Payments!$D$5:$D$304,Payments!$B$5:$B$304,A17,Payments!$A$5:$A$304,"&gt;="&amp;DATE(Setup!$B$4,10,1),Payments!$A$5:$A$304,"&lt;="&amp;EOMONTH(DATE(Setup!$B$4,10,1),0)))</f>
        <v/>
      </c>
      <c r="AN17" s="25" t="str">
        <f t="shared" si="2"/>
        <v/>
      </c>
    </row>
    <row r="18" spans="1:40" x14ac:dyDescent="0.3">
      <c r="A18" s="14" t="str">
        <f>IF(INDEX(Workers!$B:$B,ROW())="","",INDEX(Workers!$B:$B,ROW()))</f>
        <v/>
      </c>
      <c r="B18" s="21" t="str">
        <f>IF(INDEX(Workers!$C:$C,ROW())="","",INDEX(Workers!$C:$C,ROW()))</f>
        <v/>
      </c>
      <c r="C18" s="21" t="str">
        <f>IF(INDEX(Workers!$D:$D,ROW())="","",INDEX(Workers!$D:$D,ROW()))</f>
        <v/>
      </c>
      <c r="D18" s="22" t="str">
        <f>IF(INDEX(Workers!$E:$E,ROW())="","",INDEX(Workers!$E:$E,ROW()))</f>
        <v/>
      </c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4" t="str">
        <f t="shared" si="0"/>
        <v/>
      </c>
      <c r="AK18" s="24" t="str">
        <f t="shared" si="1"/>
        <v/>
      </c>
      <c r="AL18" s="25" t="str">
        <f>IF(B18="","",AJ18*N(D18)+AK18*N(D18)/Setup!$B$6*Setup!$B$7)</f>
        <v/>
      </c>
      <c r="AM18" s="25" t="str">
        <f>IF(B18="","",SUMIFS(Payments!$D$5:$D$304,Payments!$B$5:$B$304,A18,Payments!$A$5:$A$304,"&gt;="&amp;DATE(Setup!$B$4,10,1),Payments!$A$5:$A$304,"&lt;="&amp;EOMONTH(DATE(Setup!$B$4,10,1),0)))</f>
        <v/>
      </c>
      <c r="AN18" s="25" t="str">
        <f t="shared" si="2"/>
        <v/>
      </c>
    </row>
    <row r="19" spans="1:40" x14ac:dyDescent="0.3">
      <c r="A19" s="14" t="str">
        <f>IF(INDEX(Workers!$B:$B,ROW())="","",INDEX(Workers!$B:$B,ROW()))</f>
        <v/>
      </c>
      <c r="B19" s="21" t="str">
        <f>IF(INDEX(Workers!$C:$C,ROW())="","",INDEX(Workers!$C:$C,ROW()))</f>
        <v/>
      </c>
      <c r="C19" s="21" t="str">
        <f>IF(INDEX(Workers!$D:$D,ROW())="","",INDEX(Workers!$D:$D,ROW()))</f>
        <v/>
      </c>
      <c r="D19" s="22" t="str">
        <f>IF(INDEX(Workers!$E:$E,ROW())="","",INDEX(Workers!$E:$E,ROW()))</f>
        <v/>
      </c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4" t="str">
        <f t="shared" si="0"/>
        <v/>
      </c>
      <c r="AK19" s="24" t="str">
        <f t="shared" si="1"/>
        <v/>
      </c>
      <c r="AL19" s="25" t="str">
        <f>IF(B19="","",AJ19*N(D19)+AK19*N(D19)/Setup!$B$6*Setup!$B$7)</f>
        <v/>
      </c>
      <c r="AM19" s="25" t="str">
        <f>IF(B19="","",SUMIFS(Payments!$D$5:$D$304,Payments!$B$5:$B$304,A19,Payments!$A$5:$A$304,"&gt;="&amp;DATE(Setup!$B$4,10,1),Payments!$A$5:$A$304,"&lt;="&amp;EOMONTH(DATE(Setup!$B$4,10,1),0)))</f>
        <v/>
      </c>
      <c r="AN19" s="25" t="str">
        <f t="shared" si="2"/>
        <v/>
      </c>
    </row>
    <row r="20" spans="1:40" x14ac:dyDescent="0.3">
      <c r="A20" s="14" t="str">
        <f>IF(INDEX(Workers!$B:$B,ROW())="","",INDEX(Workers!$B:$B,ROW()))</f>
        <v/>
      </c>
      <c r="B20" s="21" t="str">
        <f>IF(INDEX(Workers!$C:$C,ROW())="","",INDEX(Workers!$C:$C,ROW()))</f>
        <v/>
      </c>
      <c r="C20" s="21" t="str">
        <f>IF(INDEX(Workers!$D:$D,ROW())="","",INDEX(Workers!$D:$D,ROW()))</f>
        <v/>
      </c>
      <c r="D20" s="22" t="str">
        <f>IF(INDEX(Workers!$E:$E,ROW())="","",INDEX(Workers!$E:$E,ROW()))</f>
        <v/>
      </c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4" t="str">
        <f t="shared" si="0"/>
        <v/>
      </c>
      <c r="AK20" s="24" t="str">
        <f t="shared" si="1"/>
        <v/>
      </c>
      <c r="AL20" s="25" t="str">
        <f>IF(B20="","",AJ20*N(D20)+AK20*N(D20)/Setup!$B$6*Setup!$B$7)</f>
        <v/>
      </c>
      <c r="AM20" s="25" t="str">
        <f>IF(B20="","",SUMIFS(Payments!$D$5:$D$304,Payments!$B$5:$B$304,A20,Payments!$A$5:$A$304,"&gt;="&amp;DATE(Setup!$B$4,10,1),Payments!$A$5:$A$304,"&lt;="&amp;EOMONTH(DATE(Setup!$B$4,10,1),0)))</f>
        <v/>
      </c>
      <c r="AN20" s="25" t="str">
        <f t="shared" si="2"/>
        <v/>
      </c>
    </row>
    <row r="21" spans="1:40" x14ac:dyDescent="0.3">
      <c r="A21" s="14" t="str">
        <f>IF(INDEX(Workers!$B:$B,ROW())="","",INDEX(Workers!$B:$B,ROW()))</f>
        <v/>
      </c>
      <c r="B21" s="21" t="str">
        <f>IF(INDEX(Workers!$C:$C,ROW())="","",INDEX(Workers!$C:$C,ROW()))</f>
        <v/>
      </c>
      <c r="C21" s="21" t="str">
        <f>IF(INDEX(Workers!$D:$D,ROW())="","",INDEX(Workers!$D:$D,ROW()))</f>
        <v/>
      </c>
      <c r="D21" s="22" t="str">
        <f>IF(INDEX(Workers!$E:$E,ROW())="","",INDEX(Workers!$E:$E,ROW()))</f>
        <v/>
      </c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4" t="str">
        <f t="shared" si="0"/>
        <v/>
      </c>
      <c r="AK21" s="24" t="str">
        <f t="shared" si="1"/>
        <v/>
      </c>
      <c r="AL21" s="25" t="str">
        <f>IF(B21="","",AJ21*N(D21)+AK21*N(D21)/Setup!$B$6*Setup!$B$7)</f>
        <v/>
      </c>
      <c r="AM21" s="25" t="str">
        <f>IF(B21="","",SUMIFS(Payments!$D$5:$D$304,Payments!$B$5:$B$304,A21,Payments!$A$5:$A$304,"&gt;="&amp;DATE(Setup!$B$4,10,1),Payments!$A$5:$A$304,"&lt;="&amp;EOMONTH(DATE(Setup!$B$4,10,1),0)))</f>
        <v/>
      </c>
      <c r="AN21" s="25" t="str">
        <f t="shared" si="2"/>
        <v/>
      </c>
    </row>
    <row r="22" spans="1:40" x14ac:dyDescent="0.3">
      <c r="A22" s="14" t="str">
        <f>IF(INDEX(Workers!$B:$B,ROW())="","",INDEX(Workers!$B:$B,ROW()))</f>
        <v/>
      </c>
      <c r="B22" s="21" t="str">
        <f>IF(INDEX(Workers!$C:$C,ROW())="","",INDEX(Workers!$C:$C,ROW()))</f>
        <v/>
      </c>
      <c r="C22" s="21" t="str">
        <f>IF(INDEX(Workers!$D:$D,ROW())="","",INDEX(Workers!$D:$D,ROW()))</f>
        <v/>
      </c>
      <c r="D22" s="22" t="str">
        <f>IF(INDEX(Workers!$E:$E,ROW())="","",INDEX(Workers!$E:$E,ROW()))</f>
        <v/>
      </c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4" t="str">
        <f t="shared" si="0"/>
        <v/>
      </c>
      <c r="AK22" s="24" t="str">
        <f t="shared" si="1"/>
        <v/>
      </c>
      <c r="AL22" s="25" t="str">
        <f>IF(B22="","",AJ22*N(D22)+AK22*N(D22)/Setup!$B$6*Setup!$B$7)</f>
        <v/>
      </c>
      <c r="AM22" s="25" t="str">
        <f>IF(B22="","",SUMIFS(Payments!$D$5:$D$304,Payments!$B$5:$B$304,A22,Payments!$A$5:$A$304,"&gt;="&amp;DATE(Setup!$B$4,10,1),Payments!$A$5:$A$304,"&lt;="&amp;EOMONTH(DATE(Setup!$B$4,10,1),0)))</f>
        <v/>
      </c>
      <c r="AN22" s="25" t="str">
        <f t="shared" si="2"/>
        <v/>
      </c>
    </row>
    <row r="23" spans="1:40" x14ac:dyDescent="0.3">
      <c r="A23" s="14" t="str">
        <f>IF(INDEX(Workers!$B:$B,ROW())="","",INDEX(Workers!$B:$B,ROW()))</f>
        <v/>
      </c>
      <c r="B23" s="21" t="str">
        <f>IF(INDEX(Workers!$C:$C,ROW())="","",INDEX(Workers!$C:$C,ROW()))</f>
        <v/>
      </c>
      <c r="C23" s="21" t="str">
        <f>IF(INDEX(Workers!$D:$D,ROW())="","",INDEX(Workers!$D:$D,ROW()))</f>
        <v/>
      </c>
      <c r="D23" s="22" t="str">
        <f>IF(INDEX(Workers!$E:$E,ROW())="","",INDEX(Workers!$E:$E,ROW()))</f>
        <v/>
      </c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4" t="str">
        <f t="shared" si="0"/>
        <v/>
      </c>
      <c r="AK23" s="24" t="str">
        <f t="shared" si="1"/>
        <v/>
      </c>
      <c r="AL23" s="25" t="str">
        <f>IF(B23="","",AJ23*N(D23)+AK23*N(D23)/Setup!$B$6*Setup!$B$7)</f>
        <v/>
      </c>
      <c r="AM23" s="25" t="str">
        <f>IF(B23="","",SUMIFS(Payments!$D$5:$D$304,Payments!$B$5:$B$304,A23,Payments!$A$5:$A$304,"&gt;="&amp;DATE(Setup!$B$4,10,1),Payments!$A$5:$A$304,"&lt;="&amp;EOMONTH(DATE(Setup!$B$4,10,1),0)))</f>
        <v/>
      </c>
      <c r="AN23" s="25" t="str">
        <f t="shared" si="2"/>
        <v/>
      </c>
    </row>
    <row r="24" spans="1:40" x14ac:dyDescent="0.3">
      <c r="A24" s="14" t="str">
        <f>IF(INDEX(Workers!$B:$B,ROW())="","",INDEX(Workers!$B:$B,ROW()))</f>
        <v/>
      </c>
      <c r="B24" s="21" t="str">
        <f>IF(INDEX(Workers!$C:$C,ROW())="","",INDEX(Workers!$C:$C,ROW()))</f>
        <v/>
      </c>
      <c r="C24" s="21" t="str">
        <f>IF(INDEX(Workers!$D:$D,ROW())="","",INDEX(Workers!$D:$D,ROW()))</f>
        <v/>
      </c>
      <c r="D24" s="22" t="str">
        <f>IF(INDEX(Workers!$E:$E,ROW())="","",INDEX(Workers!$E:$E,ROW()))</f>
        <v/>
      </c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4" t="str">
        <f t="shared" si="0"/>
        <v/>
      </c>
      <c r="AK24" s="24" t="str">
        <f t="shared" si="1"/>
        <v/>
      </c>
      <c r="AL24" s="25" t="str">
        <f>IF(B24="","",AJ24*N(D24)+AK24*N(D24)/Setup!$B$6*Setup!$B$7)</f>
        <v/>
      </c>
      <c r="AM24" s="25" t="str">
        <f>IF(B24="","",SUMIFS(Payments!$D$5:$D$304,Payments!$B$5:$B$304,A24,Payments!$A$5:$A$304,"&gt;="&amp;DATE(Setup!$B$4,10,1),Payments!$A$5:$A$304,"&lt;="&amp;EOMONTH(DATE(Setup!$B$4,10,1),0)))</f>
        <v/>
      </c>
      <c r="AN24" s="25" t="str">
        <f t="shared" si="2"/>
        <v/>
      </c>
    </row>
    <row r="25" spans="1:40" x14ac:dyDescent="0.3">
      <c r="A25" s="14" t="str">
        <f>IF(INDEX(Workers!$B:$B,ROW())="","",INDEX(Workers!$B:$B,ROW()))</f>
        <v/>
      </c>
      <c r="B25" s="21" t="str">
        <f>IF(INDEX(Workers!$C:$C,ROW())="","",INDEX(Workers!$C:$C,ROW()))</f>
        <v/>
      </c>
      <c r="C25" s="21" t="str">
        <f>IF(INDEX(Workers!$D:$D,ROW())="","",INDEX(Workers!$D:$D,ROW()))</f>
        <v/>
      </c>
      <c r="D25" s="22" t="str">
        <f>IF(INDEX(Workers!$E:$E,ROW())="","",INDEX(Workers!$E:$E,ROW()))</f>
        <v/>
      </c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4" t="str">
        <f t="shared" si="0"/>
        <v/>
      </c>
      <c r="AK25" s="24" t="str">
        <f t="shared" si="1"/>
        <v/>
      </c>
      <c r="AL25" s="25" t="str">
        <f>IF(B25="","",AJ25*N(D25)+AK25*N(D25)/Setup!$B$6*Setup!$B$7)</f>
        <v/>
      </c>
      <c r="AM25" s="25" t="str">
        <f>IF(B25="","",SUMIFS(Payments!$D$5:$D$304,Payments!$B$5:$B$304,A25,Payments!$A$5:$A$304,"&gt;="&amp;DATE(Setup!$B$4,10,1),Payments!$A$5:$A$304,"&lt;="&amp;EOMONTH(DATE(Setup!$B$4,10,1),0)))</f>
        <v/>
      </c>
      <c r="AN25" s="25" t="str">
        <f t="shared" si="2"/>
        <v/>
      </c>
    </row>
    <row r="26" spans="1:40" x14ac:dyDescent="0.3">
      <c r="A26" s="14" t="str">
        <f>IF(INDEX(Workers!$B:$B,ROW())="","",INDEX(Workers!$B:$B,ROW()))</f>
        <v/>
      </c>
      <c r="B26" s="21" t="str">
        <f>IF(INDEX(Workers!$C:$C,ROW())="","",INDEX(Workers!$C:$C,ROW()))</f>
        <v/>
      </c>
      <c r="C26" s="21" t="str">
        <f>IF(INDEX(Workers!$D:$D,ROW())="","",INDEX(Workers!$D:$D,ROW()))</f>
        <v/>
      </c>
      <c r="D26" s="22" t="str">
        <f>IF(INDEX(Workers!$E:$E,ROW())="","",INDEX(Workers!$E:$E,ROW()))</f>
        <v/>
      </c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4" t="str">
        <f t="shared" si="0"/>
        <v/>
      </c>
      <c r="AK26" s="24" t="str">
        <f t="shared" si="1"/>
        <v/>
      </c>
      <c r="AL26" s="25" t="str">
        <f>IF(B26="","",AJ26*N(D26)+AK26*N(D26)/Setup!$B$6*Setup!$B$7)</f>
        <v/>
      </c>
      <c r="AM26" s="25" t="str">
        <f>IF(B26="","",SUMIFS(Payments!$D$5:$D$304,Payments!$B$5:$B$304,A26,Payments!$A$5:$A$304,"&gt;="&amp;DATE(Setup!$B$4,10,1),Payments!$A$5:$A$304,"&lt;="&amp;EOMONTH(DATE(Setup!$B$4,10,1),0)))</f>
        <v/>
      </c>
      <c r="AN26" s="25" t="str">
        <f t="shared" si="2"/>
        <v/>
      </c>
    </row>
    <row r="27" spans="1:40" x14ac:dyDescent="0.3">
      <c r="A27" s="14" t="str">
        <f>IF(INDEX(Workers!$B:$B,ROW())="","",INDEX(Workers!$B:$B,ROW()))</f>
        <v/>
      </c>
      <c r="B27" s="21" t="str">
        <f>IF(INDEX(Workers!$C:$C,ROW())="","",INDEX(Workers!$C:$C,ROW()))</f>
        <v/>
      </c>
      <c r="C27" s="21" t="str">
        <f>IF(INDEX(Workers!$D:$D,ROW())="","",INDEX(Workers!$D:$D,ROW()))</f>
        <v/>
      </c>
      <c r="D27" s="22" t="str">
        <f>IF(INDEX(Workers!$E:$E,ROW())="","",INDEX(Workers!$E:$E,ROW()))</f>
        <v/>
      </c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4" t="str">
        <f t="shared" si="0"/>
        <v/>
      </c>
      <c r="AK27" s="24" t="str">
        <f t="shared" si="1"/>
        <v/>
      </c>
      <c r="AL27" s="25" t="str">
        <f>IF(B27="","",AJ27*N(D27)+AK27*N(D27)/Setup!$B$6*Setup!$B$7)</f>
        <v/>
      </c>
      <c r="AM27" s="25" t="str">
        <f>IF(B27="","",SUMIFS(Payments!$D$5:$D$304,Payments!$B$5:$B$304,A27,Payments!$A$5:$A$304,"&gt;="&amp;DATE(Setup!$B$4,10,1),Payments!$A$5:$A$304,"&lt;="&amp;EOMONTH(DATE(Setup!$B$4,10,1),0)))</f>
        <v/>
      </c>
      <c r="AN27" s="25" t="str">
        <f t="shared" si="2"/>
        <v/>
      </c>
    </row>
    <row r="28" spans="1:40" x14ac:dyDescent="0.3">
      <c r="A28" s="14" t="str">
        <f>IF(INDEX(Workers!$B:$B,ROW())="","",INDEX(Workers!$B:$B,ROW()))</f>
        <v/>
      </c>
      <c r="B28" s="21" t="str">
        <f>IF(INDEX(Workers!$C:$C,ROW())="","",INDEX(Workers!$C:$C,ROW()))</f>
        <v/>
      </c>
      <c r="C28" s="21" t="str">
        <f>IF(INDEX(Workers!$D:$D,ROW())="","",INDEX(Workers!$D:$D,ROW()))</f>
        <v/>
      </c>
      <c r="D28" s="22" t="str">
        <f>IF(INDEX(Workers!$E:$E,ROW())="","",INDEX(Workers!$E:$E,ROW()))</f>
        <v/>
      </c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4" t="str">
        <f t="shared" si="0"/>
        <v/>
      </c>
      <c r="AK28" s="24" t="str">
        <f t="shared" si="1"/>
        <v/>
      </c>
      <c r="AL28" s="25" t="str">
        <f>IF(B28="","",AJ28*N(D28)+AK28*N(D28)/Setup!$B$6*Setup!$B$7)</f>
        <v/>
      </c>
      <c r="AM28" s="25" t="str">
        <f>IF(B28="","",SUMIFS(Payments!$D$5:$D$304,Payments!$B$5:$B$304,A28,Payments!$A$5:$A$304,"&gt;="&amp;DATE(Setup!$B$4,10,1),Payments!$A$5:$A$304,"&lt;="&amp;EOMONTH(DATE(Setup!$B$4,10,1),0)))</f>
        <v/>
      </c>
      <c r="AN28" s="25" t="str">
        <f t="shared" si="2"/>
        <v/>
      </c>
    </row>
    <row r="29" spans="1:40" x14ac:dyDescent="0.3">
      <c r="A29" s="14" t="str">
        <f>IF(INDEX(Workers!$B:$B,ROW())="","",INDEX(Workers!$B:$B,ROW()))</f>
        <v/>
      </c>
      <c r="B29" s="21" t="str">
        <f>IF(INDEX(Workers!$C:$C,ROW())="","",INDEX(Workers!$C:$C,ROW()))</f>
        <v/>
      </c>
      <c r="C29" s="21" t="str">
        <f>IF(INDEX(Workers!$D:$D,ROW())="","",INDEX(Workers!$D:$D,ROW()))</f>
        <v/>
      </c>
      <c r="D29" s="22" t="str">
        <f>IF(INDEX(Workers!$E:$E,ROW())="","",INDEX(Workers!$E:$E,ROW()))</f>
        <v/>
      </c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4" t="str">
        <f t="shared" si="0"/>
        <v/>
      </c>
      <c r="AK29" s="24" t="str">
        <f t="shared" si="1"/>
        <v/>
      </c>
      <c r="AL29" s="25" t="str">
        <f>IF(B29="","",AJ29*N(D29)+AK29*N(D29)/Setup!$B$6*Setup!$B$7)</f>
        <v/>
      </c>
      <c r="AM29" s="25" t="str">
        <f>IF(B29="","",SUMIFS(Payments!$D$5:$D$304,Payments!$B$5:$B$304,A29,Payments!$A$5:$A$304,"&gt;="&amp;DATE(Setup!$B$4,10,1),Payments!$A$5:$A$304,"&lt;="&amp;EOMONTH(DATE(Setup!$B$4,10,1),0)))</f>
        <v/>
      </c>
      <c r="AN29" s="25" t="str">
        <f t="shared" si="2"/>
        <v/>
      </c>
    </row>
    <row r="30" spans="1:40" x14ac:dyDescent="0.3">
      <c r="A30" s="14" t="str">
        <f>IF(INDEX(Workers!$B:$B,ROW())="","",INDEX(Workers!$B:$B,ROW()))</f>
        <v/>
      </c>
      <c r="B30" s="21" t="str">
        <f>IF(INDEX(Workers!$C:$C,ROW())="","",INDEX(Workers!$C:$C,ROW()))</f>
        <v/>
      </c>
      <c r="C30" s="21" t="str">
        <f>IF(INDEX(Workers!$D:$D,ROW())="","",INDEX(Workers!$D:$D,ROW()))</f>
        <v/>
      </c>
      <c r="D30" s="22" t="str">
        <f>IF(INDEX(Workers!$E:$E,ROW())="","",INDEX(Workers!$E:$E,ROW()))</f>
        <v/>
      </c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4" t="str">
        <f t="shared" si="0"/>
        <v/>
      </c>
      <c r="AK30" s="24" t="str">
        <f t="shared" si="1"/>
        <v/>
      </c>
      <c r="AL30" s="25" t="str">
        <f>IF(B30="","",AJ30*N(D30)+AK30*N(D30)/Setup!$B$6*Setup!$B$7)</f>
        <v/>
      </c>
      <c r="AM30" s="25" t="str">
        <f>IF(B30="","",SUMIFS(Payments!$D$5:$D$304,Payments!$B$5:$B$304,A30,Payments!$A$5:$A$304,"&gt;="&amp;DATE(Setup!$B$4,10,1),Payments!$A$5:$A$304,"&lt;="&amp;EOMONTH(DATE(Setup!$B$4,10,1),0)))</f>
        <v/>
      </c>
      <c r="AN30" s="25" t="str">
        <f t="shared" si="2"/>
        <v/>
      </c>
    </row>
    <row r="31" spans="1:40" x14ac:dyDescent="0.3">
      <c r="A31" s="14" t="str">
        <f>IF(INDEX(Workers!$B:$B,ROW())="","",INDEX(Workers!$B:$B,ROW()))</f>
        <v/>
      </c>
      <c r="B31" s="21" t="str">
        <f>IF(INDEX(Workers!$C:$C,ROW())="","",INDEX(Workers!$C:$C,ROW()))</f>
        <v/>
      </c>
      <c r="C31" s="21" t="str">
        <f>IF(INDEX(Workers!$D:$D,ROW())="","",INDEX(Workers!$D:$D,ROW()))</f>
        <v/>
      </c>
      <c r="D31" s="22" t="str">
        <f>IF(INDEX(Workers!$E:$E,ROW())="","",INDEX(Workers!$E:$E,ROW()))</f>
        <v/>
      </c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4" t="str">
        <f t="shared" si="0"/>
        <v/>
      </c>
      <c r="AK31" s="24" t="str">
        <f t="shared" si="1"/>
        <v/>
      </c>
      <c r="AL31" s="25" t="str">
        <f>IF(B31="","",AJ31*N(D31)+AK31*N(D31)/Setup!$B$6*Setup!$B$7)</f>
        <v/>
      </c>
      <c r="AM31" s="25" t="str">
        <f>IF(B31="","",SUMIFS(Payments!$D$5:$D$304,Payments!$B$5:$B$304,A31,Payments!$A$5:$A$304,"&gt;="&amp;DATE(Setup!$B$4,10,1),Payments!$A$5:$A$304,"&lt;="&amp;EOMONTH(DATE(Setup!$B$4,10,1),0)))</f>
        <v/>
      </c>
      <c r="AN31" s="25" t="str">
        <f t="shared" si="2"/>
        <v/>
      </c>
    </row>
    <row r="32" spans="1:40" x14ac:dyDescent="0.3">
      <c r="A32" s="14" t="str">
        <f>IF(INDEX(Workers!$B:$B,ROW())="","",INDEX(Workers!$B:$B,ROW()))</f>
        <v/>
      </c>
      <c r="B32" s="21" t="str">
        <f>IF(INDEX(Workers!$C:$C,ROW())="","",INDEX(Workers!$C:$C,ROW()))</f>
        <v/>
      </c>
      <c r="C32" s="21" t="str">
        <f>IF(INDEX(Workers!$D:$D,ROW())="","",INDEX(Workers!$D:$D,ROW()))</f>
        <v/>
      </c>
      <c r="D32" s="22" t="str">
        <f>IF(INDEX(Workers!$E:$E,ROW())="","",INDEX(Workers!$E:$E,ROW()))</f>
        <v/>
      </c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4" t="str">
        <f t="shared" si="0"/>
        <v/>
      </c>
      <c r="AK32" s="24" t="str">
        <f t="shared" si="1"/>
        <v/>
      </c>
      <c r="AL32" s="25" t="str">
        <f>IF(B32="","",AJ32*N(D32)+AK32*N(D32)/Setup!$B$6*Setup!$B$7)</f>
        <v/>
      </c>
      <c r="AM32" s="25" t="str">
        <f>IF(B32="","",SUMIFS(Payments!$D$5:$D$304,Payments!$B$5:$B$304,A32,Payments!$A$5:$A$304,"&gt;="&amp;DATE(Setup!$B$4,10,1),Payments!$A$5:$A$304,"&lt;="&amp;EOMONTH(DATE(Setup!$B$4,10,1),0)))</f>
        <v/>
      </c>
      <c r="AN32" s="25" t="str">
        <f t="shared" si="2"/>
        <v/>
      </c>
    </row>
    <row r="33" spans="1:40" x14ac:dyDescent="0.3">
      <c r="A33" s="14" t="str">
        <f>IF(INDEX(Workers!$B:$B,ROW())="","",INDEX(Workers!$B:$B,ROW()))</f>
        <v/>
      </c>
      <c r="B33" s="21" t="str">
        <f>IF(INDEX(Workers!$C:$C,ROW())="","",INDEX(Workers!$C:$C,ROW()))</f>
        <v/>
      </c>
      <c r="C33" s="21" t="str">
        <f>IF(INDEX(Workers!$D:$D,ROW())="","",INDEX(Workers!$D:$D,ROW()))</f>
        <v/>
      </c>
      <c r="D33" s="22" t="str">
        <f>IF(INDEX(Workers!$E:$E,ROW())="","",INDEX(Workers!$E:$E,ROW()))</f>
        <v/>
      </c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4" t="str">
        <f t="shared" si="0"/>
        <v/>
      </c>
      <c r="AK33" s="24" t="str">
        <f t="shared" si="1"/>
        <v/>
      </c>
      <c r="AL33" s="25" t="str">
        <f>IF(B33="","",AJ33*N(D33)+AK33*N(D33)/Setup!$B$6*Setup!$B$7)</f>
        <v/>
      </c>
      <c r="AM33" s="25" t="str">
        <f>IF(B33="","",SUMIFS(Payments!$D$5:$D$304,Payments!$B$5:$B$304,A33,Payments!$A$5:$A$304,"&gt;="&amp;DATE(Setup!$B$4,10,1),Payments!$A$5:$A$304,"&lt;="&amp;EOMONTH(DATE(Setup!$B$4,10,1),0)))</f>
        <v/>
      </c>
      <c r="AN33" s="25" t="str">
        <f t="shared" si="2"/>
        <v/>
      </c>
    </row>
    <row r="34" spans="1:40" x14ac:dyDescent="0.3">
      <c r="A34" s="14" t="str">
        <f>IF(INDEX(Workers!$B:$B,ROW())="","",INDEX(Workers!$B:$B,ROW()))</f>
        <v/>
      </c>
      <c r="B34" s="21" t="str">
        <f>IF(INDEX(Workers!$C:$C,ROW())="","",INDEX(Workers!$C:$C,ROW()))</f>
        <v/>
      </c>
      <c r="C34" s="21" t="str">
        <f>IF(INDEX(Workers!$D:$D,ROW())="","",INDEX(Workers!$D:$D,ROW()))</f>
        <v/>
      </c>
      <c r="D34" s="22" t="str">
        <f>IF(INDEX(Workers!$E:$E,ROW())="","",INDEX(Workers!$E:$E,ROW()))</f>
        <v/>
      </c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4" t="str">
        <f t="shared" si="0"/>
        <v/>
      </c>
      <c r="AK34" s="24" t="str">
        <f t="shared" si="1"/>
        <v/>
      </c>
      <c r="AL34" s="25" t="str">
        <f>IF(B34="","",AJ34*N(D34)+AK34*N(D34)/Setup!$B$6*Setup!$B$7)</f>
        <v/>
      </c>
      <c r="AM34" s="25" t="str">
        <f>IF(B34="","",SUMIFS(Payments!$D$5:$D$304,Payments!$B$5:$B$304,A34,Payments!$A$5:$A$304,"&gt;="&amp;DATE(Setup!$B$4,10,1),Payments!$A$5:$A$304,"&lt;="&amp;EOMONTH(DATE(Setup!$B$4,10,1),0)))</f>
        <v/>
      </c>
      <c r="AN34" s="25" t="str">
        <f t="shared" si="2"/>
        <v/>
      </c>
    </row>
    <row r="35" spans="1:40" x14ac:dyDescent="0.3">
      <c r="A35" s="14" t="str">
        <f>IF(INDEX(Workers!$B:$B,ROW())="","",INDEX(Workers!$B:$B,ROW()))</f>
        <v/>
      </c>
      <c r="B35" s="21" t="str">
        <f>IF(INDEX(Workers!$C:$C,ROW())="","",INDEX(Workers!$C:$C,ROW()))</f>
        <v/>
      </c>
      <c r="C35" s="21" t="str">
        <f>IF(INDEX(Workers!$D:$D,ROW())="","",INDEX(Workers!$D:$D,ROW()))</f>
        <v/>
      </c>
      <c r="D35" s="22" t="str">
        <f>IF(INDEX(Workers!$E:$E,ROW())="","",INDEX(Workers!$E:$E,ROW()))</f>
        <v/>
      </c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4" t="str">
        <f t="shared" si="0"/>
        <v/>
      </c>
      <c r="AK35" s="24" t="str">
        <f t="shared" si="1"/>
        <v/>
      </c>
      <c r="AL35" s="25" t="str">
        <f>IF(B35="","",AJ35*N(D35)+AK35*N(D35)/Setup!$B$6*Setup!$B$7)</f>
        <v/>
      </c>
      <c r="AM35" s="25" t="str">
        <f>IF(B35="","",SUMIFS(Payments!$D$5:$D$304,Payments!$B$5:$B$304,A35,Payments!$A$5:$A$304,"&gt;="&amp;DATE(Setup!$B$4,10,1),Payments!$A$5:$A$304,"&lt;="&amp;EOMONTH(DATE(Setup!$B$4,10,1),0)))</f>
        <v/>
      </c>
      <c r="AN35" s="25" t="str">
        <f t="shared" si="2"/>
        <v/>
      </c>
    </row>
    <row r="36" spans="1:40" x14ac:dyDescent="0.3">
      <c r="A36" s="14" t="str">
        <f>IF(INDEX(Workers!$B:$B,ROW())="","",INDEX(Workers!$B:$B,ROW()))</f>
        <v/>
      </c>
      <c r="B36" s="21" t="str">
        <f>IF(INDEX(Workers!$C:$C,ROW())="","",INDEX(Workers!$C:$C,ROW()))</f>
        <v/>
      </c>
      <c r="C36" s="21" t="str">
        <f>IF(INDEX(Workers!$D:$D,ROW())="","",INDEX(Workers!$D:$D,ROW()))</f>
        <v/>
      </c>
      <c r="D36" s="22" t="str">
        <f>IF(INDEX(Workers!$E:$E,ROW())="","",INDEX(Workers!$E:$E,ROW()))</f>
        <v/>
      </c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4" t="str">
        <f t="shared" si="0"/>
        <v/>
      </c>
      <c r="AK36" s="24" t="str">
        <f t="shared" si="1"/>
        <v/>
      </c>
      <c r="AL36" s="25" t="str">
        <f>IF(B36="","",AJ36*N(D36)+AK36*N(D36)/Setup!$B$6*Setup!$B$7)</f>
        <v/>
      </c>
      <c r="AM36" s="25" t="str">
        <f>IF(B36="","",SUMIFS(Payments!$D$5:$D$304,Payments!$B$5:$B$304,A36,Payments!$A$5:$A$304,"&gt;="&amp;DATE(Setup!$B$4,10,1),Payments!$A$5:$A$304,"&lt;="&amp;EOMONTH(DATE(Setup!$B$4,10,1),0)))</f>
        <v/>
      </c>
      <c r="AN36" s="25" t="str">
        <f t="shared" si="2"/>
        <v/>
      </c>
    </row>
    <row r="37" spans="1:40" x14ac:dyDescent="0.3">
      <c r="A37" s="14" t="str">
        <f>IF(INDEX(Workers!$B:$B,ROW())="","",INDEX(Workers!$B:$B,ROW()))</f>
        <v/>
      </c>
      <c r="B37" s="21" t="str">
        <f>IF(INDEX(Workers!$C:$C,ROW())="","",INDEX(Workers!$C:$C,ROW()))</f>
        <v/>
      </c>
      <c r="C37" s="21" t="str">
        <f>IF(INDEX(Workers!$D:$D,ROW())="","",INDEX(Workers!$D:$D,ROW()))</f>
        <v/>
      </c>
      <c r="D37" s="22" t="str">
        <f>IF(INDEX(Workers!$E:$E,ROW())="","",INDEX(Workers!$E:$E,ROW()))</f>
        <v/>
      </c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4" t="str">
        <f t="shared" si="0"/>
        <v/>
      </c>
      <c r="AK37" s="24" t="str">
        <f t="shared" si="1"/>
        <v/>
      </c>
      <c r="AL37" s="25" t="str">
        <f>IF(B37="","",AJ37*N(D37)+AK37*N(D37)/Setup!$B$6*Setup!$B$7)</f>
        <v/>
      </c>
      <c r="AM37" s="25" t="str">
        <f>IF(B37="","",SUMIFS(Payments!$D$5:$D$304,Payments!$B$5:$B$304,A37,Payments!$A$5:$A$304,"&gt;="&amp;DATE(Setup!$B$4,10,1),Payments!$A$5:$A$304,"&lt;="&amp;EOMONTH(DATE(Setup!$B$4,10,1),0)))</f>
        <v/>
      </c>
      <c r="AN37" s="25" t="str">
        <f t="shared" si="2"/>
        <v/>
      </c>
    </row>
    <row r="38" spans="1:40" x14ac:dyDescent="0.3">
      <c r="A38" s="14" t="str">
        <f>IF(INDEX(Workers!$B:$B,ROW())="","",INDEX(Workers!$B:$B,ROW()))</f>
        <v/>
      </c>
      <c r="B38" s="21" t="str">
        <f>IF(INDEX(Workers!$C:$C,ROW())="","",INDEX(Workers!$C:$C,ROW()))</f>
        <v/>
      </c>
      <c r="C38" s="21" t="str">
        <f>IF(INDEX(Workers!$D:$D,ROW())="","",INDEX(Workers!$D:$D,ROW()))</f>
        <v/>
      </c>
      <c r="D38" s="22" t="str">
        <f>IF(INDEX(Workers!$E:$E,ROW())="","",INDEX(Workers!$E:$E,ROW()))</f>
        <v/>
      </c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4" t="str">
        <f t="shared" si="0"/>
        <v/>
      </c>
      <c r="AK38" s="24" t="str">
        <f t="shared" si="1"/>
        <v/>
      </c>
      <c r="AL38" s="25" t="str">
        <f>IF(B38="","",AJ38*N(D38)+AK38*N(D38)/Setup!$B$6*Setup!$B$7)</f>
        <v/>
      </c>
      <c r="AM38" s="25" t="str">
        <f>IF(B38="","",SUMIFS(Payments!$D$5:$D$304,Payments!$B$5:$B$304,A38,Payments!$A$5:$A$304,"&gt;="&amp;DATE(Setup!$B$4,10,1),Payments!$A$5:$A$304,"&lt;="&amp;EOMONTH(DATE(Setup!$B$4,10,1),0)))</f>
        <v/>
      </c>
      <c r="AN38" s="25" t="str">
        <f t="shared" si="2"/>
        <v/>
      </c>
    </row>
    <row r="39" spans="1:40" x14ac:dyDescent="0.3">
      <c r="A39" s="14" t="str">
        <f>IF(INDEX(Workers!$B:$B,ROW())="","",INDEX(Workers!$B:$B,ROW()))</f>
        <v/>
      </c>
      <c r="B39" s="21" t="str">
        <f>IF(INDEX(Workers!$C:$C,ROW())="","",INDEX(Workers!$C:$C,ROW()))</f>
        <v/>
      </c>
      <c r="C39" s="21" t="str">
        <f>IF(INDEX(Workers!$D:$D,ROW())="","",INDEX(Workers!$D:$D,ROW()))</f>
        <v/>
      </c>
      <c r="D39" s="22" t="str">
        <f>IF(INDEX(Workers!$E:$E,ROW())="","",INDEX(Workers!$E:$E,ROW()))</f>
        <v/>
      </c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4" t="str">
        <f t="shared" si="0"/>
        <v/>
      </c>
      <c r="AK39" s="24" t="str">
        <f t="shared" si="1"/>
        <v/>
      </c>
      <c r="AL39" s="25" t="str">
        <f>IF(B39="","",AJ39*N(D39)+AK39*N(D39)/Setup!$B$6*Setup!$B$7)</f>
        <v/>
      </c>
      <c r="AM39" s="25" t="str">
        <f>IF(B39="","",SUMIFS(Payments!$D$5:$D$304,Payments!$B$5:$B$304,A39,Payments!$A$5:$A$304,"&gt;="&amp;DATE(Setup!$B$4,10,1),Payments!$A$5:$A$304,"&lt;="&amp;EOMONTH(DATE(Setup!$B$4,10,1),0)))</f>
        <v/>
      </c>
      <c r="AN39" s="25" t="str">
        <f t="shared" si="2"/>
        <v/>
      </c>
    </row>
    <row r="40" spans="1:40" x14ac:dyDescent="0.3">
      <c r="A40" s="14" t="str">
        <f>IF(INDEX(Workers!$B:$B,ROW())="","",INDEX(Workers!$B:$B,ROW()))</f>
        <v/>
      </c>
      <c r="B40" s="21" t="str">
        <f>IF(INDEX(Workers!$C:$C,ROW())="","",INDEX(Workers!$C:$C,ROW()))</f>
        <v/>
      </c>
      <c r="C40" s="21" t="str">
        <f>IF(INDEX(Workers!$D:$D,ROW())="","",INDEX(Workers!$D:$D,ROW()))</f>
        <v/>
      </c>
      <c r="D40" s="22" t="str">
        <f>IF(INDEX(Workers!$E:$E,ROW())="","",INDEX(Workers!$E:$E,ROW()))</f>
        <v/>
      </c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4" t="str">
        <f t="shared" si="0"/>
        <v/>
      </c>
      <c r="AK40" s="24" t="str">
        <f t="shared" si="1"/>
        <v/>
      </c>
      <c r="AL40" s="25" t="str">
        <f>IF(B40="","",AJ40*N(D40)+AK40*N(D40)/Setup!$B$6*Setup!$B$7)</f>
        <v/>
      </c>
      <c r="AM40" s="25" t="str">
        <f>IF(B40="","",SUMIFS(Payments!$D$5:$D$304,Payments!$B$5:$B$304,A40,Payments!$A$5:$A$304,"&gt;="&amp;DATE(Setup!$B$4,10,1),Payments!$A$5:$A$304,"&lt;="&amp;EOMONTH(DATE(Setup!$B$4,10,1),0)))</f>
        <v/>
      </c>
      <c r="AN40" s="25" t="str">
        <f t="shared" si="2"/>
        <v/>
      </c>
    </row>
    <row r="41" spans="1:40" x14ac:dyDescent="0.3">
      <c r="A41" s="14" t="str">
        <f>IF(INDEX(Workers!$B:$B,ROW())="","",INDEX(Workers!$B:$B,ROW()))</f>
        <v/>
      </c>
      <c r="B41" s="21" t="str">
        <f>IF(INDEX(Workers!$C:$C,ROW())="","",INDEX(Workers!$C:$C,ROW()))</f>
        <v/>
      </c>
      <c r="C41" s="21" t="str">
        <f>IF(INDEX(Workers!$D:$D,ROW())="","",INDEX(Workers!$D:$D,ROW()))</f>
        <v/>
      </c>
      <c r="D41" s="22" t="str">
        <f>IF(INDEX(Workers!$E:$E,ROW())="","",INDEX(Workers!$E:$E,ROW()))</f>
        <v/>
      </c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4" t="str">
        <f t="shared" si="0"/>
        <v/>
      </c>
      <c r="AK41" s="24" t="str">
        <f t="shared" si="1"/>
        <v/>
      </c>
      <c r="AL41" s="25" t="str">
        <f>IF(B41="","",AJ41*N(D41)+AK41*N(D41)/Setup!$B$6*Setup!$B$7)</f>
        <v/>
      </c>
      <c r="AM41" s="25" t="str">
        <f>IF(B41="","",SUMIFS(Payments!$D$5:$D$304,Payments!$B$5:$B$304,A41,Payments!$A$5:$A$304,"&gt;="&amp;DATE(Setup!$B$4,10,1),Payments!$A$5:$A$304,"&lt;="&amp;EOMONTH(DATE(Setup!$B$4,10,1),0)))</f>
        <v/>
      </c>
      <c r="AN41" s="25" t="str">
        <f t="shared" si="2"/>
        <v/>
      </c>
    </row>
    <row r="42" spans="1:40" x14ac:dyDescent="0.3">
      <c r="A42" s="14" t="str">
        <f>IF(INDEX(Workers!$B:$B,ROW())="","",INDEX(Workers!$B:$B,ROW()))</f>
        <v/>
      </c>
      <c r="B42" s="21" t="str">
        <f>IF(INDEX(Workers!$C:$C,ROW())="","",INDEX(Workers!$C:$C,ROW()))</f>
        <v/>
      </c>
      <c r="C42" s="21" t="str">
        <f>IF(INDEX(Workers!$D:$D,ROW())="","",INDEX(Workers!$D:$D,ROW()))</f>
        <v/>
      </c>
      <c r="D42" s="22" t="str">
        <f>IF(INDEX(Workers!$E:$E,ROW())="","",INDEX(Workers!$E:$E,ROW()))</f>
        <v/>
      </c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4" t="str">
        <f t="shared" si="0"/>
        <v/>
      </c>
      <c r="AK42" s="24" t="str">
        <f t="shared" si="1"/>
        <v/>
      </c>
      <c r="AL42" s="25" t="str">
        <f>IF(B42="","",AJ42*N(D42)+AK42*N(D42)/Setup!$B$6*Setup!$B$7)</f>
        <v/>
      </c>
      <c r="AM42" s="25" t="str">
        <f>IF(B42="","",SUMIFS(Payments!$D$5:$D$304,Payments!$B$5:$B$304,A42,Payments!$A$5:$A$304,"&gt;="&amp;DATE(Setup!$B$4,10,1),Payments!$A$5:$A$304,"&lt;="&amp;EOMONTH(DATE(Setup!$B$4,10,1),0)))</f>
        <v/>
      </c>
      <c r="AN42" s="25" t="str">
        <f t="shared" si="2"/>
        <v/>
      </c>
    </row>
    <row r="43" spans="1:40" x14ac:dyDescent="0.3">
      <c r="A43" s="14" t="str">
        <f>IF(INDEX(Workers!$B:$B,ROW())="","",INDEX(Workers!$B:$B,ROW()))</f>
        <v/>
      </c>
      <c r="B43" s="21" t="str">
        <f>IF(INDEX(Workers!$C:$C,ROW())="","",INDEX(Workers!$C:$C,ROW()))</f>
        <v/>
      </c>
      <c r="C43" s="21" t="str">
        <f>IF(INDEX(Workers!$D:$D,ROW())="","",INDEX(Workers!$D:$D,ROW()))</f>
        <v/>
      </c>
      <c r="D43" s="22" t="str">
        <f>IF(INDEX(Workers!$E:$E,ROW())="","",INDEX(Workers!$E:$E,ROW()))</f>
        <v/>
      </c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4" t="str">
        <f t="shared" si="0"/>
        <v/>
      </c>
      <c r="AK43" s="24" t="str">
        <f t="shared" si="1"/>
        <v/>
      </c>
      <c r="AL43" s="25" t="str">
        <f>IF(B43="","",AJ43*N(D43)+AK43*N(D43)/Setup!$B$6*Setup!$B$7)</f>
        <v/>
      </c>
      <c r="AM43" s="25" t="str">
        <f>IF(B43="","",SUMIFS(Payments!$D$5:$D$304,Payments!$B$5:$B$304,A43,Payments!$A$5:$A$304,"&gt;="&amp;DATE(Setup!$B$4,10,1),Payments!$A$5:$A$304,"&lt;="&amp;EOMONTH(DATE(Setup!$B$4,10,1),0)))</f>
        <v/>
      </c>
      <c r="AN43" s="25" t="str">
        <f t="shared" si="2"/>
        <v/>
      </c>
    </row>
    <row r="44" spans="1:40" x14ac:dyDescent="0.3">
      <c r="A44" s="14" t="str">
        <f>IF(INDEX(Workers!$B:$B,ROW())="","",INDEX(Workers!$B:$B,ROW()))</f>
        <v/>
      </c>
      <c r="B44" s="21" t="str">
        <f>IF(INDEX(Workers!$C:$C,ROW())="","",INDEX(Workers!$C:$C,ROW()))</f>
        <v/>
      </c>
      <c r="C44" s="21" t="str">
        <f>IF(INDEX(Workers!$D:$D,ROW())="","",INDEX(Workers!$D:$D,ROW()))</f>
        <v/>
      </c>
      <c r="D44" s="22" t="str">
        <f>IF(INDEX(Workers!$E:$E,ROW())="","",INDEX(Workers!$E:$E,ROW()))</f>
        <v/>
      </c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4" t="str">
        <f t="shared" si="0"/>
        <v/>
      </c>
      <c r="AK44" s="24" t="str">
        <f t="shared" si="1"/>
        <v/>
      </c>
      <c r="AL44" s="25" t="str">
        <f>IF(B44="","",AJ44*N(D44)+AK44*N(D44)/Setup!$B$6*Setup!$B$7)</f>
        <v/>
      </c>
      <c r="AM44" s="25" t="str">
        <f>IF(B44="","",SUMIFS(Payments!$D$5:$D$304,Payments!$B$5:$B$304,A44,Payments!$A$5:$A$304,"&gt;="&amp;DATE(Setup!$B$4,10,1),Payments!$A$5:$A$304,"&lt;="&amp;EOMONTH(DATE(Setup!$B$4,10,1),0)))</f>
        <v/>
      </c>
      <c r="AN44" s="25" t="str">
        <f t="shared" si="2"/>
        <v/>
      </c>
    </row>
    <row r="45" spans="1:40" x14ac:dyDescent="0.3">
      <c r="A45" s="26"/>
      <c r="B45" s="26" t="s">
        <v>88</v>
      </c>
      <c r="C45" s="26"/>
      <c r="D45" s="26"/>
      <c r="E45" s="27">
        <f t="shared" ref="E45:AI45" si="3">IF(E$3="","",COUNTIF(E5:E44,"P")+COUNTIF(E5:E44,"H")+COUNT(E5:E44))</f>
        <v>0</v>
      </c>
      <c r="F45" s="27">
        <f t="shared" si="3"/>
        <v>0</v>
      </c>
      <c r="G45" s="27">
        <f t="shared" si="3"/>
        <v>0</v>
      </c>
      <c r="H45" s="27">
        <f t="shared" si="3"/>
        <v>0</v>
      </c>
      <c r="I45" s="27">
        <f t="shared" si="3"/>
        <v>0</v>
      </c>
      <c r="J45" s="27">
        <f t="shared" si="3"/>
        <v>0</v>
      </c>
      <c r="K45" s="27">
        <f t="shared" si="3"/>
        <v>0</v>
      </c>
      <c r="L45" s="27">
        <f t="shared" si="3"/>
        <v>0</v>
      </c>
      <c r="M45" s="27">
        <f t="shared" si="3"/>
        <v>0</v>
      </c>
      <c r="N45" s="27">
        <f t="shared" si="3"/>
        <v>0</v>
      </c>
      <c r="O45" s="27">
        <f t="shared" si="3"/>
        <v>0</v>
      </c>
      <c r="P45" s="27">
        <f t="shared" si="3"/>
        <v>0</v>
      </c>
      <c r="Q45" s="27">
        <f t="shared" si="3"/>
        <v>0</v>
      </c>
      <c r="R45" s="27">
        <f t="shared" si="3"/>
        <v>0</v>
      </c>
      <c r="S45" s="27">
        <f t="shared" si="3"/>
        <v>0</v>
      </c>
      <c r="T45" s="27">
        <f t="shared" si="3"/>
        <v>0</v>
      </c>
      <c r="U45" s="27">
        <f t="shared" si="3"/>
        <v>0</v>
      </c>
      <c r="V45" s="27">
        <f t="shared" si="3"/>
        <v>0</v>
      </c>
      <c r="W45" s="27">
        <f t="shared" si="3"/>
        <v>0</v>
      </c>
      <c r="X45" s="27">
        <f t="shared" si="3"/>
        <v>0</v>
      </c>
      <c r="Y45" s="27">
        <f t="shared" si="3"/>
        <v>0</v>
      </c>
      <c r="Z45" s="27">
        <f t="shared" si="3"/>
        <v>0</v>
      </c>
      <c r="AA45" s="27">
        <f t="shared" si="3"/>
        <v>0</v>
      </c>
      <c r="AB45" s="27">
        <f t="shared" si="3"/>
        <v>0</v>
      </c>
      <c r="AC45" s="27">
        <f t="shared" si="3"/>
        <v>0</v>
      </c>
      <c r="AD45" s="27">
        <f t="shared" si="3"/>
        <v>0</v>
      </c>
      <c r="AE45" s="27">
        <f t="shared" si="3"/>
        <v>0</v>
      </c>
      <c r="AF45" s="27">
        <f t="shared" si="3"/>
        <v>0</v>
      </c>
      <c r="AG45" s="27">
        <f t="shared" si="3"/>
        <v>0</v>
      </c>
      <c r="AH45" s="27">
        <f t="shared" si="3"/>
        <v>0</v>
      </c>
      <c r="AI45" s="27">
        <f t="shared" si="3"/>
        <v>0</v>
      </c>
      <c r="AJ45" s="28">
        <f>SUM(AJ5:AJ44)</f>
        <v>0</v>
      </c>
      <c r="AK45" s="28">
        <f>SUM(AK5:AK44)</f>
        <v>0</v>
      </c>
      <c r="AL45" s="29">
        <f>SUM(AL5:AL44)</f>
        <v>0</v>
      </c>
      <c r="AM45" s="29">
        <f>SUM(AM5:AM44)</f>
        <v>2000</v>
      </c>
      <c r="AN45" s="29">
        <f>SUM(AN5:AN44)</f>
        <v>-2000</v>
      </c>
    </row>
  </sheetData>
  <conditionalFormatting sqref="E3:AI3">
    <cfRule type="expression" dxfId="20" priority="2">
      <formula>E$3="Sun"</formula>
    </cfRule>
  </conditionalFormatting>
  <conditionalFormatting sqref="E3:AI45">
    <cfRule type="expression" dxfId="19" priority="1">
      <formula>E$3=""</formula>
    </cfRule>
  </conditionalFormatting>
  <conditionalFormatting sqref="E5:AI44">
    <cfRule type="expression" dxfId="18" priority="6">
      <formula>E5="A"</formula>
    </cfRule>
    <cfRule type="expression" dxfId="17" priority="7">
      <formula>E5="H"</formula>
    </cfRule>
    <cfRule type="expression" dxfId="16" priority="8">
      <formula>ISNUMBER(E5)</formula>
    </cfRule>
  </conditionalFormatting>
  <conditionalFormatting sqref="E5:AI45">
    <cfRule type="expression" dxfId="15" priority="4">
      <formula>E$3="Sun"</formula>
    </cfRule>
  </conditionalFormatting>
  <conditionalFormatting sqref="AN5:AN44">
    <cfRule type="expression" dxfId="14" priority="9">
      <formula>AN5&lt;0</formula>
    </cfRule>
  </conditionalFormatting>
  <dataValidations count="1">
    <dataValidation type="custom" allowBlank="1" showErrorMessage="1" errorTitle="Attendance code" error="Type P, H, A, L, or the number of overtime hours (0 to 12). Shaded days do not exist in this month." sqref="E5:AI44" xr:uid="{00000000-0002-0000-0C00-000000000000}">
      <formula1>AND(E$3&lt;&gt;"",OR(E5="P",E5="H",E5="A",E5="L",AND(ISNUMBER(E5),E5&gt;=0,E5&lt;=12)))</formula1>
    </dataValidation>
  </dataValidations>
  <printOptions horizontalCentered="1"/>
  <pageMargins left="0.45" right="0.45" top="0.6" bottom="0.6" header="0.3" footer="0.3"/>
  <pageSetup paperSize="9" scale="66" orientation="landscape" r:id="rId1"/>
  <headerFooter>
    <oddFooter>&amp;L&amp;8Free from NirmanDost - nirmandost.in - sign up for more free tools&amp;R&amp;8Page &amp;P of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N45"/>
  <sheetViews>
    <sheetView showGridLines="0" workbookViewId="0">
      <pane xSplit="4" ySplit="4" topLeftCell="E5" activePane="bottomRight" state="frozen"/>
      <selection pane="topRight"/>
      <selection pane="bottomLeft"/>
      <selection pane="bottomRight"/>
    </sheetView>
  </sheetViews>
  <sheetFormatPr defaultRowHeight="14.4" x14ac:dyDescent="0.3"/>
  <cols>
    <col min="1" max="1" width="7" customWidth="1"/>
    <col min="2" max="2" width="24" customWidth="1"/>
    <col min="3" max="3" width="11" customWidth="1"/>
    <col min="4" max="4" width="9" customWidth="1"/>
    <col min="5" max="35" width="3.5546875" customWidth="1"/>
    <col min="36" max="37" width="6.44140625" customWidth="1"/>
    <col min="38" max="38" width="12" customWidth="1"/>
    <col min="39" max="40" width="11" customWidth="1"/>
  </cols>
  <sheetData>
    <row r="1" spans="1:40" ht="17.399999999999999" x14ac:dyDescent="0.3">
      <c r="A1" s="18" t="str">
        <f>"Attendance - "&amp;TEXT(DATE(Setup!$B$4,11,1),"mmmm yyyy")&amp;"   "&amp;Setup!$B$5</f>
        <v>Attendance - November 2026   Type the site name</v>
      </c>
    </row>
    <row r="2" spans="1:40" x14ac:dyDescent="0.3">
      <c r="A2" s="19" t="s">
        <v>49</v>
      </c>
    </row>
    <row r="3" spans="1:40" x14ac:dyDescent="0.3">
      <c r="E3" s="20" t="str">
        <f>IF(1&gt;DAY(EOMONTH(DATE(Setup!$B$4,11,1),0)),"",TEXT(DATE(Setup!$B$4,11,1),"ddd"))</f>
        <v>Sun</v>
      </c>
      <c r="F3" s="20" t="str">
        <f>IF(2&gt;DAY(EOMONTH(DATE(Setup!$B$4,11,1),0)),"",TEXT(DATE(Setup!$B$4,11,2),"ddd"))</f>
        <v>Mon</v>
      </c>
      <c r="G3" s="20" t="str">
        <f>IF(3&gt;DAY(EOMONTH(DATE(Setup!$B$4,11,1),0)),"",TEXT(DATE(Setup!$B$4,11,3),"ddd"))</f>
        <v>Tue</v>
      </c>
      <c r="H3" s="20" t="str">
        <f>IF(4&gt;DAY(EOMONTH(DATE(Setup!$B$4,11,1),0)),"",TEXT(DATE(Setup!$B$4,11,4),"ddd"))</f>
        <v>Wed</v>
      </c>
      <c r="I3" s="20" t="str">
        <f>IF(5&gt;DAY(EOMONTH(DATE(Setup!$B$4,11,1),0)),"",TEXT(DATE(Setup!$B$4,11,5),"ddd"))</f>
        <v>Thu</v>
      </c>
      <c r="J3" s="20" t="str">
        <f>IF(6&gt;DAY(EOMONTH(DATE(Setup!$B$4,11,1),0)),"",TEXT(DATE(Setup!$B$4,11,6),"ddd"))</f>
        <v>Fri</v>
      </c>
      <c r="K3" s="20" t="str">
        <f>IF(7&gt;DAY(EOMONTH(DATE(Setup!$B$4,11,1),0)),"",TEXT(DATE(Setup!$B$4,11,7),"ddd"))</f>
        <v>Sat</v>
      </c>
      <c r="L3" s="20" t="str">
        <f>IF(8&gt;DAY(EOMONTH(DATE(Setup!$B$4,11,1),0)),"",TEXT(DATE(Setup!$B$4,11,8),"ddd"))</f>
        <v>Sun</v>
      </c>
      <c r="M3" s="20" t="str">
        <f>IF(9&gt;DAY(EOMONTH(DATE(Setup!$B$4,11,1),0)),"",TEXT(DATE(Setup!$B$4,11,9),"ddd"))</f>
        <v>Mon</v>
      </c>
      <c r="N3" s="20" t="str">
        <f>IF(10&gt;DAY(EOMONTH(DATE(Setup!$B$4,11,1),0)),"",TEXT(DATE(Setup!$B$4,11,10),"ddd"))</f>
        <v>Tue</v>
      </c>
      <c r="O3" s="20" t="str">
        <f>IF(11&gt;DAY(EOMONTH(DATE(Setup!$B$4,11,1),0)),"",TEXT(DATE(Setup!$B$4,11,11),"ddd"))</f>
        <v>Wed</v>
      </c>
      <c r="P3" s="20" t="str">
        <f>IF(12&gt;DAY(EOMONTH(DATE(Setup!$B$4,11,1),0)),"",TEXT(DATE(Setup!$B$4,11,12),"ddd"))</f>
        <v>Thu</v>
      </c>
      <c r="Q3" s="20" t="str">
        <f>IF(13&gt;DAY(EOMONTH(DATE(Setup!$B$4,11,1),0)),"",TEXT(DATE(Setup!$B$4,11,13),"ddd"))</f>
        <v>Fri</v>
      </c>
      <c r="R3" s="20" t="str">
        <f>IF(14&gt;DAY(EOMONTH(DATE(Setup!$B$4,11,1),0)),"",TEXT(DATE(Setup!$B$4,11,14),"ddd"))</f>
        <v>Sat</v>
      </c>
      <c r="S3" s="20" t="str">
        <f>IF(15&gt;DAY(EOMONTH(DATE(Setup!$B$4,11,1),0)),"",TEXT(DATE(Setup!$B$4,11,15),"ddd"))</f>
        <v>Sun</v>
      </c>
      <c r="T3" s="20" t="str">
        <f>IF(16&gt;DAY(EOMONTH(DATE(Setup!$B$4,11,1),0)),"",TEXT(DATE(Setup!$B$4,11,16),"ddd"))</f>
        <v>Mon</v>
      </c>
      <c r="U3" s="20" t="str">
        <f>IF(17&gt;DAY(EOMONTH(DATE(Setup!$B$4,11,1),0)),"",TEXT(DATE(Setup!$B$4,11,17),"ddd"))</f>
        <v>Tue</v>
      </c>
      <c r="V3" s="20" t="str">
        <f>IF(18&gt;DAY(EOMONTH(DATE(Setup!$B$4,11,1),0)),"",TEXT(DATE(Setup!$B$4,11,18),"ddd"))</f>
        <v>Wed</v>
      </c>
      <c r="W3" s="20" t="str">
        <f>IF(19&gt;DAY(EOMONTH(DATE(Setup!$B$4,11,1),0)),"",TEXT(DATE(Setup!$B$4,11,19),"ddd"))</f>
        <v>Thu</v>
      </c>
      <c r="X3" s="20" t="str">
        <f>IF(20&gt;DAY(EOMONTH(DATE(Setup!$B$4,11,1),0)),"",TEXT(DATE(Setup!$B$4,11,20),"ddd"))</f>
        <v>Fri</v>
      </c>
      <c r="Y3" s="20" t="str">
        <f>IF(21&gt;DAY(EOMONTH(DATE(Setup!$B$4,11,1),0)),"",TEXT(DATE(Setup!$B$4,11,21),"ddd"))</f>
        <v>Sat</v>
      </c>
      <c r="Z3" s="20" t="str">
        <f>IF(22&gt;DAY(EOMONTH(DATE(Setup!$B$4,11,1),0)),"",TEXT(DATE(Setup!$B$4,11,22),"ddd"))</f>
        <v>Sun</v>
      </c>
      <c r="AA3" s="20" t="str">
        <f>IF(23&gt;DAY(EOMONTH(DATE(Setup!$B$4,11,1),0)),"",TEXT(DATE(Setup!$B$4,11,23),"ddd"))</f>
        <v>Mon</v>
      </c>
      <c r="AB3" s="20" t="str">
        <f>IF(24&gt;DAY(EOMONTH(DATE(Setup!$B$4,11,1),0)),"",TEXT(DATE(Setup!$B$4,11,24),"ddd"))</f>
        <v>Tue</v>
      </c>
      <c r="AC3" s="20" t="str">
        <f>IF(25&gt;DAY(EOMONTH(DATE(Setup!$B$4,11,1),0)),"",TEXT(DATE(Setup!$B$4,11,25),"ddd"))</f>
        <v>Wed</v>
      </c>
      <c r="AD3" s="20" t="str">
        <f>IF(26&gt;DAY(EOMONTH(DATE(Setup!$B$4,11,1),0)),"",TEXT(DATE(Setup!$B$4,11,26),"ddd"))</f>
        <v>Thu</v>
      </c>
      <c r="AE3" s="20" t="str">
        <f>IF(27&gt;DAY(EOMONTH(DATE(Setup!$B$4,11,1),0)),"",TEXT(DATE(Setup!$B$4,11,27),"ddd"))</f>
        <v>Fri</v>
      </c>
      <c r="AF3" s="20" t="str">
        <f>IF(28&gt;DAY(EOMONTH(DATE(Setup!$B$4,11,1),0)),"",TEXT(DATE(Setup!$B$4,11,28),"ddd"))</f>
        <v>Sat</v>
      </c>
      <c r="AG3" s="20" t="str">
        <f>IF(29&gt;DAY(EOMONTH(DATE(Setup!$B$4,11,1),0)),"",TEXT(DATE(Setup!$B$4,11,29),"ddd"))</f>
        <v>Sun</v>
      </c>
      <c r="AH3" s="20" t="str">
        <f>IF(30&gt;DAY(EOMONTH(DATE(Setup!$B$4,11,1),0)),"",TEXT(DATE(Setup!$B$4,11,30),"ddd"))</f>
        <v>Mon</v>
      </c>
      <c r="AI3" s="20" t="str">
        <f>IF(31&gt;DAY(EOMONTH(DATE(Setup!$B$4,11,1),0)),"",TEXT(DATE(Setup!$B$4,11,31),"ddd"))</f>
        <v/>
      </c>
    </row>
    <row r="4" spans="1:40" ht="28.05" customHeight="1" x14ac:dyDescent="0.3">
      <c r="A4" s="13" t="s">
        <v>50</v>
      </c>
      <c r="B4" s="13" t="s">
        <v>37</v>
      </c>
      <c r="C4" s="13" t="s">
        <v>38</v>
      </c>
      <c r="D4" s="13" t="s">
        <v>51</v>
      </c>
      <c r="E4" s="13" t="s">
        <v>52</v>
      </c>
      <c r="F4" s="13" t="s">
        <v>53</v>
      </c>
      <c r="G4" s="13" t="s">
        <v>54</v>
      </c>
      <c r="H4" s="13" t="s">
        <v>55</v>
      </c>
      <c r="I4" s="13" t="s">
        <v>56</v>
      </c>
      <c r="J4" s="13" t="s">
        <v>57</v>
      </c>
      <c r="K4" s="13" t="s">
        <v>58</v>
      </c>
      <c r="L4" s="13" t="s">
        <v>59</v>
      </c>
      <c r="M4" s="13" t="s">
        <v>60</v>
      </c>
      <c r="N4" s="13" t="s">
        <v>61</v>
      </c>
      <c r="O4" s="13" t="s">
        <v>62</v>
      </c>
      <c r="P4" s="13" t="s">
        <v>63</v>
      </c>
      <c r="Q4" s="13" t="s">
        <v>64</v>
      </c>
      <c r="R4" s="13" t="s">
        <v>65</v>
      </c>
      <c r="S4" s="13" t="s">
        <v>66</v>
      </c>
      <c r="T4" s="13" t="s">
        <v>67</v>
      </c>
      <c r="U4" s="13" t="s">
        <v>68</v>
      </c>
      <c r="V4" s="13" t="s">
        <v>69</v>
      </c>
      <c r="W4" s="13" t="s">
        <v>70</v>
      </c>
      <c r="X4" s="13" t="s">
        <v>71</v>
      </c>
      <c r="Y4" s="13" t="s">
        <v>72</v>
      </c>
      <c r="Z4" s="13" t="s">
        <v>73</v>
      </c>
      <c r="AA4" s="13" t="s">
        <v>74</v>
      </c>
      <c r="AB4" s="13" t="s">
        <v>75</v>
      </c>
      <c r="AC4" s="13" t="s">
        <v>76</v>
      </c>
      <c r="AD4" s="13" t="s">
        <v>77</v>
      </c>
      <c r="AE4" s="13" t="s">
        <v>78</v>
      </c>
      <c r="AF4" s="13" t="s">
        <v>79</v>
      </c>
      <c r="AG4" s="13" t="s">
        <v>80</v>
      </c>
      <c r="AH4" s="13" t="s">
        <v>81</v>
      </c>
      <c r="AI4" s="13" t="s">
        <v>82</v>
      </c>
      <c r="AJ4" s="13" t="s">
        <v>83</v>
      </c>
      <c r="AK4" s="13" t="s">
        <v>84</v>
      </c>
      <c r="AL4" s="13" t="s">
        <v>85</v>
      </c>
      <c r="AM4" s="13" t="s">
        <v>86</v>
      </c>
      <c r="AN4" s="13" t="s">
        <v>87</v>
      </c>
    </row>
    <row r="5" spans="1:40" x14ac:dyDescent="0.3">
      <c r="A5" s="14" t="str">
        <f>IF(INDEX(Workers!$B:$B,ROW())="","",INDEX(Workers!$B:$B,ROW()))</f>
        <v>W-01</v>
      </c>
      <c r="B5" s="21" t="str">
        <f>IF(INDEX(Workers!$C:$C,ROW())="","",INDEX(Workers!$C:$C,ROW()))</f>
        <v>Ramesh (EXAMPLE, clear me)</v>
      </c>
      <c r="C5" s="21" t="str">
        <f>IF(INDEX(Workers!$D:$D,ROW())="","",INDEX(Workers!$D:$D,ROW()))</f>
        <v>Mason</v>
      </c>
      <c r="D5" s="22">
        <f>IF(INDEX(Workers!$E:$E,ROW())="","",INDEX(Workers!$E:$E,ROW()))</f>
        <v>900</v>
      </c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4">
        <f t="shared" ref="AJ5:AJ44" si="0">IF(B5="","",SUMPRODUCT((E$3:AI$3&lt;&gt;"")*(E5:AI5="P"))+0.5*SUMPRODUCT((E$3:AI$3&lt;&gt;"")*(E5:AI5="H"))+SUMPRODUCT((E$3:AI$3&lt;&gt;"")*ISNUMBER(E5:AI5)))</f>
        <v>0</v>
      </c>
      <c r="AK5" s="24">
        <f t="shared" ref="AK5:AK44" si="1">IF(B5="","",SUMPRODUCT((E$3:AI$3&lt;&gt;"")*ISNUMBER(E5:AI5),E5:AI5))</f>
        <v>0</v>
      </c>
      <c r="AL5" s="25">
        <f>IF(B5="","",AJ5*N(D5)+AK5*N(D5)/Setup!$B$6*Setup!$B$7)</f>
        <v>0</v>
      </c>
      <c r="AM5" s="25">
        <f>IF(B5="","",SUMIFS(Payments!$D$5:$D$304,Payments!$B$5:$B$304,A5,Payments!$A$5:$A$304,"&gt;="&amp;DATE(Setup!$B$4,11,1),Payments!$A$5:$A$304,"&lt;="&amp;EOMONTH(DATE(Setup!$B$4,11,1),0)))</f>
        <v>0</v>
      </c>
      <c r="AN5" s="25">
        <f t="shared" ref="AN5:AN44" si="2">IF(B5="","",AL5-AM5)</f>
        <v>0</v>
      </c>
    </row>
    <row r="6" spans="1:40" x14ac:dyDescent="0.3">
      <c r="A6" s="14" t="str">
        <f>IF(INDEX(Workers!$B:$B,ROW())="","",INDEX(Workers!$B:$B,ROW()))</f>
        <v/>
      </c>
      <c r="B6" s="21" t="str">
        <f>IF(INDEX(Workers!$C:$C,ROW())="","",INDEX(Workers!$C:$C,ROW()))</f>
        <v/>
      </c>
      <c r="C6" s="21" t="str">
        <f>IF(INDEX(Workers!$D:$D,ROW())="","",INDEX(Workers!$D:$D,ROW()))</f>
        <v/>
      </c>
      <c r="D6" s="22" t="str">
        <f>IF(INDEX(Workers!$E:$E,ROW())="","",INDEX(Workers!$E:$E,ROW()))</f>
        <v/>
      </c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4" t="str">
        <f t="shared" si="0"/>
        <v/>
      </c>
      <c r="AK6" s="24" t="str">
        <f t="shared" si="1"/>
        <v/>
      </c>
      <c r="AL6" s="25" t="str">
        <f>IF(B6="","",AJ6*N(D6)+AK6*N(D6)/Setup!$B$6*Setup!$B$7)</f>
        <v/>
      </c>
      <c r="AM6" s="25" t="str">
        <f>IF(B6="","",SUMIFS(Payments!$D$5:$D$304,Payments!$B$5:$B$304,A6,Payments!$A$5:$A$304,"&gt;="&amp;DATE(Setup!$B$4,11,1),Payments!$A$5:$A$304,"&lt;="&amp;EOMONTH(DATE(Setup!$B$4,11,1),0)))</f>
        <v/>
      </c>
      <c r="AN6" s="25" t="str">
        <f t="shared" si="2"/>
        <v/>
      </c>
    </row>
    <row r="7" spans="1:40" x14ac:dyDescent="0.3">
      <c r="A7" s="14" t="str">
        <f>IF(INDEX(Workers!$B:$B,ROW())="","",INDEX(Workers!$B:$B,ROW()))</f>
        <v/>
      </c>
      <c r="B7" s="21" t="str">
        <f>IF(INDEX(Workers!$C:$C,ROW())="","",INDEX(Workers!$C:$C,ROW()))</f>
        <v/>
      </c>
      <c r="C7" s="21" t="str">
        <f>IF(INDEX(Workers!$D:$D,ROW())="","",INDEX(Workers!$D:$D,ROW()))</f>
        <v/>
      </c>
      <c r="D7" s="22" t="str">
        <f>IF(INDEX(Workers!$E:$E,ROW())="","",INDEX(Workers!$E:$E,ROW()))</f>
        <v/>
      </c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4" t="str">
        <f t="shared" si="0"/>
        <v/>
      </c>
      <c r="AK7" s="24" t="str">
        <f t="shared" si="1"/>
        <v/>
      </c>
      <c r="AL7" s="25" t="str">
        <f>IF(B7="","",AJ7*N(D7)+AK7*N(D7)/Setup!$B$6*Setup!$B$7)</f>
        <v/>
      </c>
      <c r="AM7" s="25" t="str">
        <f>IF(B7="","",SUMIFS(Payments!$D$5:$D$304,Payments!$B$5:$B$304,A7,Payments!$A$5:$A$304,"&gt;="&amp;DATE(Setup!$B$4,11,1),Payments!$A$5:$A$304,"&lt;="&amp;EOMONTH(DATE(Setup!$B$4,11,1),0)))</f>
        <v/>
      </c>
      <c r="AN7" s="25" t="str">
        <f t="shared" si="2"/>
        <v/>
      </c>
    </row>
    <row r="8" spans="1:40" x14ac:dyDescent="0.3">
      <c r="A8" s="14" t="str">
        <f>IF(INDEX(Workers!$B:$B,ROW())="","",INDEX(Workers!$B:$B,ROW()))</f>
        <v/>
      </c>
      <c r="B8" s="21" t="str">
        <f>IF(INDEX(Workers!$C:$C,ROW())="","",INDEX(Workers!$C:$C,ROW()))</f>
        <v/>
      </c>
      <c r="C8" s="21" t="str">
        <f>IF(INDEX(Workers!$D:$D,ROW())="","",INDEX(Workers!$D:$D,ROW()))</f>
        <v/>
      </c>
      <c r="D8" s="22" t="str">
        <f>IF(INDEX(Workers!$E:$E,ROW())="","",INDEX(Workers!$E:$E,ROW()))</f>
        <v/>
      </c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4" t="str">
        <f t="shared" si="0"/>
        <v/>
      </c>
      <c r="AK8" s="24" t="str">
        <f t="shared" si="1"/>
        <v/>
      </c>
      <c r="AL8" s="25" t="str">
        <f>IF(B8="","",AJ8*N(D8)+AK8*N(D8)/Setup!$B$6*Setup!$B$7)</f>
        <v/>
      </c>
      <c r="AM8" s="25" t="str">
        <f>IF(B8="","",SUMIFS(Payments!$D$5:$D$304,Payments!$B$5:$B$304,A8,Payments!$A$5:$A$304,"&gt;="&amp;DATE(Setup!$B$4,11,1),Payments!$A$5:$A$304,"&lt;="&amp;EOMONTH(DATE(Setup!$B$4,11,1),0)))</f>
        <v/>
      </c>
      <c r="AN8" s="25" t="str">
        <f t="shared" si="2"/>
        <v/>
      </c>
    </row>
    <row r="9" spans="1:40" x14ac:dyDescent="0.3">
      <c r="A9" s="14" t="str">
        <f>IF(INDEX(Workers!$B:$B,ROW())="","",INDEX(Workers!$B:$B,ROW()))</f>
        <v/>
      </c>
      <c r="B9" s="21" t="str">
        <f>IF(INDEX(Workers!$C:$C,ROW())="","",INDEX(Workers!$C:$C,ROW()))</f>
        <v/>
      </c>
      <c r="C9" s="21" t="str">
        <f>IF(INDEX(Workers!$D:$D,ROW())="","",INDEX(Workers!$D:$D,ROW()))</f>
        <v/>
      </c>
      <c r="D9" s="22" t="str">
        <f>IF(INDEX(Workers!$E:$E,ROW())="","",INDEX(Workers!$E:$E,ROW()))</f>
        <v/>
      </c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4" t="str">
        <f t="shared" si="0"/>
        <v/>
      </c>
      <c r="AK9" s="24" t="str">
        <f t="shared" si="1"/>
        <v/>
      </c>
      <c r="AL9" s="25" t="str">
        <f>IF(B9="","",AJ9*N(D9)+AK9*N(D9)/Setup!$B$6*Setup!$B$7)</f>
        <v/>
      </c>
      <c r="AM9" s="25" t="str">
        <f>IF(B9="","",SUMIFS(Payments!$D$5:$D$304,Payments!$B$5:$B$304,A9,Payments!$A$5:$A$304,"&gt;="&amp;DATE(Setup!$B$4,11,1),Payments!$A$5:$A$304,"&lt;="&amp;EOMONTH(DATE(Setup!$B$4,11,1),0)))</f>
        <v/>
      </c>
      <c r="AN9" s="25" t="str">
        <f t="shared" si="2"/>
        <v/>
      </c>
    </row>
    <row r="10" spans="1:40" x14ac:dyDescent="0.3">
      <c r="A10" s="14" t="str">
        <f>IF(INDEX(Workers!$B:$B,ROW())="","",INDEX(Workers!$B:$B,ROW()))</f>
        <v/>
      </c>
      <c r="B10" s="21" t="str">
        <f>IF(INDEX(Workers!$C:$C,ROW())="","",INDEX(Workers!$C:$C,ROW()))</f>
        <v/>
      </c>
      <c r="C10" s="21" t="str">
        <f>IF(INDEX(Workers!$D:$D,ROW())="","",INDEX(Workers!$D:$D,ROW()))</f>
        <v/>
      </c>
      <c r="D10" s="22" t="str">
        <f>IF(INDEX(Workers!$E:$E,ROW())="","",INDEX(Workers!$E:$E,ROW()))</f>
        <v/>
      </c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4" t="str">
        <f t="shared" si="0"/>
        <v/>
      </c>
      <c r="AK10" s="24" t="str">
        <f t="shared" si="1"/>
        <v/>
      </c>
      <c r="AL10" s="25" t="str">
        <f>IF(B10="","",AJ10*N(D10)+AK10*N(D10)/Setup!$B$6*Setup!$B$7)</f>
        <v/>
      </c>
      <c r="AM10" s="25" t="str">
        <f>IF(B10="","",SUMIFS(Payments!$D$5:$D$304,Payments!$B$5:$B$304,A10,Payments!$A$5:$A$304,"&gt;="&amp;DATE(Setup!$B$4,11,1),Payments!$A$5:$A$304,"&lt;="&amp;EOMONTH(DATE(Setup!$B$4,11,1),0)))</f>
        <v/>
      </c>
      <c r="AN10" s="25" t="str">
        <f t="shared" si="2"/>
        <v/>
      </c>
    </row>
    <row r="11" spans="1:40" x14ac:dyDescent="0.3">
      <c r="A11" s="14" t="str">
        <f>IF(INDEX(Workers!$B:$B,ROW())="","",INDEX(Workers!$B:$B,ROW()))</f>
        <v/>
      </c>
      <c r="B11" s="21" t="str">
        <f>IF(INDEX(Workers!$C:$C,ROW())="","",INDEX(Workers!$C:$C,ROW()))</f>
        <v/>
      </c>
      <c r="C11" s="21" t="str">
        <f>IF(INDEX(Workers!$D:$D,ROW())="","",INDEX(Workers!$D:$D,ROW()))</f>
        <v/>
      </c>
      <c r="D11" s="22" t="str">
        <f>IF(INDEX(Workers!$E:$E,ROW())="","",INDEX(Workers!$E:$E,ROW()))</f>
        <v/>
      </c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4" t="str">
        <f t="shared" si="0"/>
        <v/>
      </c>
      <c r="AK11" s="24" t="str">
        <f t="shared" si="1"/>
        <v/>
      </c>
      <c r="AL11" s="25" t="str">
        <f>IF(B11="","",AJ11*N(D11)+AK11*N(D11)/Setup!$B$6*Setup!$B$7)</f>
        <v/>
      </c>
      <c r="AM11" s="25" t="str">
        <f>IF(B11="","",SUMIFS(Payments!$D$5:$D$304,Payments!$B$5:$B$304,A11,Payments!$A$5:$A$304,"&gt;="&amp;DATE(Setup!$B$4,11,1),Payments!$A$5:$A$304,"&lt;="&amp;EOMONTH(DATE(Setup!$B$4,11,1),0)))</f>
        <v/>
      </c>
      <c r="AN11" s="25" t="str">
        <f t="shared" si="2"/>
        <v/>
      </c>
    </row>
    <row r="12" spans="1:40" x14ac:dyDescent="0.3">
      <c r="A12" s="14" t="str">
        <f>IF(INDEX(Workers!$B:$B,ROW())="","",INDEX(Workers!$B:$B,ROW()))</f>
        <v/>
      </c>
      <c r="B12" s="21" t="str">
        <f>IF(INDEX(Workers!$C:$C,ROW())="","",INDEX(Workers!$C:$C,ROW()))</f>
        <v/>
      </c>
      <c r="C12" s="21" t="str">
        <f>IF(INDEX(Workers!$D:$D,ROW())="","",INDEX(Workers!$D:$D,ROW()))</f>
        <v/>
      </c>
      <c r="D12" s="22" t="str">
        <f>IF(INDEX(Workers!$E:$E,ROW())="","",INDEX(Workers!$E:$E,ROW()))</f>
        <v/>
      </c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4" t="str">
        <f t="shared" si="0"/>
        <v/>
      </c>
      <c r="AK12" s="24" t="str">
        <f t="shared" si="1"/>
        <v/>
      </c>
      <c r="AL12" s="25" t="str">
        <f>IF(B12="","",AJ12*N(D12)+AK12*N(D12)/Setup!$B$6*Setup!$B$7)</f>
        <v/>
      </c>
      <c r="AM12" s="25" t="str">
        <f>IF(B12="","",SUMIFS(Payments!$D$5:$D$304,Payments!$B$5:$B$304,A12,Payments!$A$5:$A$304,"&gt;="&amp;DATE(Setup!$B$4,11,1),Payments!$A$5:$A$304,"&lt;="&amp;EOMONTH(DATE(Setup!$B$4,11,1),0)))</f>
        <v/>
      </c>
      <c r="AN12" s="25" t="str">
        <f t="shared" si="2"/>
        <v/>
      </c>
    </row>
    <row r="13" spans="1:40" x14ac:dyDescent="0.3">
      <c r="A13" s="14" t="str">
        <f>IF(INDEX(Workers!$B:$B,ROW())="","",INDEX(Workers!$B:$B,ROW()))</f>
        <v/>
      </c>
      <c r="B13" s="21" t="str">
        <f>IF(INDEX(Workers!$C:$C,ROW())="","",INDEX(Workers!$C:$C,ROW()))</f>
        <v/>
      </c>
      <c r="C13" s="21" t="str">
        <f>IF(INDEX(Workers!$D:$D,ROW())="","",INDEX(Workers!$D:$D,ROW()))</f>
        <v/>
      </c>
      <c r="D13" s="22" t="str">
        <f>IF(INDEX(Workers!$E:$E,ROW())="","",INDEX(Workers!$E:$E,ROW()))</f>
        <v/>
      </c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4" t="str">
        <f t="shared" si="0"/>
        <v/>
      </c>
      <c r="AK13" s="24" t="str">
        <f t="shared" si="1"/>
        <v/>
      </c>
      <c r="AL13" s="25" t="str">
        <f>IF(B13="","",AJ13*N(D13)+AK13*N(D13)/Setup!$B$6*Setup!$B$7)</f>
        <v/>
      </c>
      <c r="AM13" s="25" t="str">
        <f>IF(B13="","",SUMIFS(Payments!$D$5:$D$304,Payments!$B$5:$B$304,A13,Payments!$A$5:$A$304,"&gt;="&amp;DATE(Setup!$B$4,11,1),Payments!$A$5:$A$304,"&lt;="&amp;EOMONTH(DATE(Setup!$B$4,11,1),0)))</f>
        <v/>
      </c>
      <c r="AN13" s="25" t="str">
        <f t="shared" si="2"/>
        <v/>
      </c>
    </row>
    <row r="14" spans="1:40" x14ac:dyDescent="0.3">
      <c r="A14" s="14" t="str">
        <f>IF(INDEX(Workers!$B:$B,ROW())="","",INDEX(Workers!$B:$B,ROW()))</f>
        <v/>
      </c>
      <c r="B14" s="21" t="str">
        <f>IF(INDEX(Workers!$C:$C,ROW())="","",INDEX(Workers!$C:$C,ROW()))</f>
        <v/>
      </c>
      <c r="C14" s="21" t="str">
        <f>IF(INDEX(Workers!$D:$D,ROW())="","",INDEX(Workers!$D:$D,ROW()))</f>
        <v/>
      </c>
      <c r="D14" s="22" t="str">
        <f>IF(INDEX(Workers!$E:$E,ROW())="","",INDEX(Workers!$E:$E,ROW()))</f>
        <v/>
      </c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4" t="str">
        <f t="shared" si="0"/>
        <v/>
      </c>
      <c r="AK14" s="24" t="str">
        <f t="shared" si="1"/>
        <v/>
      </c>
      <c r="AL14" s="25" t="str">
        <f>IF(B14="","",AJ14*N(D14)+AK14*N(D14)/Setup!$B$6*Setup!$B$7)</f>
        <v/>
      </c>
      <c r="AM14" s="25" t="str">
        <f>IF(B14="","",SUMIFS(Payments!$D$5:$D$304,Payments!$B$5:$B$304,A14,Payments!$A$5:$A$304,"&gt;="&amp;DATE(Setup!$B$4,11,1),Payments!$A$5:$A$304,"&lt;="&amp;EOMONTH(DATE(Setup!$B$4,11,1),0)))</f>
        <v/>
      </c>
      <c r="AN14" s="25" t="str">
        <f t="shared" si="2"/>
        <v/>
      </c>
    </row>
    <row r="15" spans="1:40" x14ac:dyDescent="0.3">
      <c r="A15" s="14" t="str">
        <f>IF(INDEX(Workers!$B:$B,ROW())="","",INDEX(Workers!$B:$B,ROW()))</f>
        <v/>
      </c>
      <c r="B15" s="21" t="str">
        <f>IF(INDEX(Workers!$C:$C,ROW())="","",INDEX(Workers!$C:$C,ROW()))</f>
        <v/>
      </c>
      <c r="C15" s="21" t="str">
        <f>IF(INDEX(Workers!$D:$D,ROW())="","",INDEX(Workers!$D:$D,ROW()))</f>
        <v/>
      </c>
      <c r="D15" s="22" t="str">
        <f>IF(INDEX(Workers!$E:$E,ROW())="","",INDEX(Workers!$E:$E,ROW()))</f>
        <v/>
      </c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4" t="str">
        <f t="shared" si="0"/>
        <v/>
      </c>
      <c r="AK15" s="24" t="str">
        <f t="shared" si="1"/>
        <v/>
      </c>
      <c r="AL15" s="25" t="str">
        <f>IF(B15="","",AJ15*N(D15)+AK15*N(D15)/Setup!$B$6*Setup!$B$7)</f>
        <v/>
      </c>
      <c r="AM15" s="25" t="str">
        <f>IF(B15="","",SUMIFS(Payments!$D$5:$D$304,Payments!$B$5:$B$304,A15,Payments!$A$5:$A$304,"&gt;="&amp;DATE(Setup!$B$4,11,1),Payments!$A$5:$A$304,"&lt;="&amp;EOMONTH(DATE(Setup!$B$4,11,1),0)))</f>
        <v/>
      </c>
      <c r="AN15" s="25" t="str">
        <f t="shared" si="2"/>
        <v/>
      </c>
    </row>
    <row r="16" spans="1:40" x14ac:dyDescent="0.3">
      <c r="A16" s="14" t="str">
        <f>IF(INDEX(Workers!$B:$B,ROW())="","",INDEX(Workers!$B:$B,ROW()))</f>
        <v/>
      </c>
      <c r="B16" s="21" t="str">
        <f>IF(INDEX(Workers!$C:$C,ROW())="","",INDEX(Workers!$C:$C,ROW()))</f>
        <v/>
      </c>
      <c r="C16" s="21" t="str">
        <f>IF(INDEX(Workers!$D:$D,ROW())="","",INDEX(Workers!$D:$D,ROW()))</f>
        <v/>
      </c>
      <c r="D16" s="22" t="str">
        <f>IF(INDEX(Workers!$E:$E,ROW())="","",INDEX(Workers!$E:$E,ROW()))</f>
        <v/>
      </c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4" t="str">
        <f t="shared" si="0"/>
        <v/>
      </c>
      <c r="AK16" s="24" t="str">
        <f t="shared" si="1"/>
        <v/>
      </c>
      <c r="AL16" s="25" t="str">
        <f>IF(B16="","",AJ16*N(D16)+AK16*N(D16)/Setup!$B$6*Setup!$B$7)</f>
        <v/>
      </c>
      <c r="AM16" s="25" t="str">
        <f>IF(B16="","",SUMIFS(Payments!$D$5:$D$304,Payments!$B$5:$B$304,A16,Payments!$A$5:$A$304,"&gt;="&amp;DATE(Setup!$B$4,11,1),Payments!$A$5:$A$304,"&lt;="&amp;EOMONTH(DATE(Setup!$B$4,11,1),0)))</f>
        <v/>
      </c>
      <c r="AN16" s="25" t="str">
        <f t="shared" si="2"/>
        <v/>
      </c>
    </row>
    <row r="17" spans="1:40" x14ac:dyDescent="0.3">
      <c r="A17" s="14" t="str">
        <f>IF(INDEX(Workers!$B:$B,ROW())="","",INDEX(Workers!$B:$B,ROW()))</f>
        <v/>
      </c>
      <c r="B17" s="21" t="str">
        <f>IF(INDEX(Workers!$C:$C,ROW())="","",INDEX(Workers!$C:$C,ROW()))</f>
        <v/>
      </c>
      <c r="C17" s="21" t="str">
        <f>IF(INDEX(Workers!$D:$D,ROW())="","",INDEX(Workers!$D:$D,ROW()))</f>
        <v/>
      </c>
      <c r="D17" s="22" t="str">
        <f>IF(INDEX(Workers!$E:$E,ROW())="","",INDEX(Workers!$E:$E,ROW()))</f>
        <v/>
      </c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4" t="str">
        <f t="shared" si="0"/>
        <v/>
      </c>
      <c r="AK17" s="24" t="str">
        <f t="shared" si="1"/>
        <v/>
      </c>
      <c r="AL17" s="25" t="str">
        <f>IF(B17="","",AJ17*N(D17)+AK17*N(D17)/Setup!$B$6*Setup!$B$7)</f>
        <v/>
      </c>
      <c r="AM17" s="25" t="str">
        <f>IF(B17="","",SUMIFS(Payments!$D$5:$D$304,Payments!$B$5:$B$304,A17,Payments!$A$5:$A$304,"&gt;="&amp;DATE(Setup!$B$4,11,1),Payments!$A$5:$A$304,"&lt;="&amp;EOMONTH(DATE(Setup!$B$4,11,1),0)))</f>
        <v/>
      </c>
      <c r="AN17" s="25" t="str">
        <f t="shared" si="2"/>
        <v/>
      </c>
    </row>
    <row r="18" spans="1:40" x14ac:dyDescent="0.3">
      <c r="A18" s="14" t="str">
        <f>IF(INDEX(Workers!$B:$B,ROW())="","",INDEX(Workers!$B:$B,ROW()))</f>
        <v/>
      </c>
      <c r="B18" s="21" t="str">
        <f>IF(INDEX(Workers!$C:$C,ROW())="","",INDEX(Workers!$C:$C,ROW()))</f>
        <v/>
      </c>
      <c r="C18" s="21" t="str">
        <f>IF(INDEX(Workers!$D:$D,ROW())="","",INDEX(Workers!$D:$D,ROW()))</f>
        <v/>
      </c>
      <c r="D18" s="22" t="str">
        <f>IF(INDEX(Workers!$E:$E,ROW())="","",INDEX(Workers!$E:$E,ROW()))</f>
        <v/>
      </c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4" t="str">
        <f t="shared" si="0"/>
        <v/>
      </c>
      <c r="AK18" s="24" t="str">
        <f t="shared" si="1"/>
        <v/>
      </c>
      <c r="AL18" s="25" t="str">
        <f>IF(B18="","",AJ18*N(D18)+AK18*N(D18)/Setup!$B$6*Setup!$B$7)</f>
        <v/>
      </c>
      <c r="AM18" s="25" t="str">
        <f>IF(B18="","",SUMIFS(Payments!$D$5:$D$304,Payments!$B$5:$B$304,A18,Payments!$A$5:$A$304,"&gt;="&amp;DATE(Setup!$B$4,11,1),Payments!$A$5:$A$304,"&lt;="&amp;EOMONTH(DATE(Setup!$B$4,11,1),0)))</f>
        <v/>
      </c>
      <c r="AN18" s="25" t="str">
        <f t="shared" si="2"/>
        <v/>
      </c>
    </row>
    <row r="19" spans="1:40" x14ac:dyDescent="0.3">
      <c r="A19" s="14" t="str">
        <f>IF(INDEX(Workers!$B:$B,ROW())="","",INDEX(Workers!$B:$B,ROW()))</f>
        <v/>
      </c>
      <c r="B19" s="21" t="str">
        <f>IF(INDEX(Workers!$C:$C,ROW())="","",INDEX(Workers!$C:$C,ROW()))</f>
        <v/>
      </c>
      <c r="C19" s="21" t="str">
        <f>IF(INDEX(Workers!$D:$D,ROW())="","",INDEX(Workers!$D:$D,ROW()))</f>
        <v/>
      </c>
      <c r="D19" s="22" t="str">
        <f>IF(INDEX(Workers!$E:$E,ROW())="","",INDEX(Workers!$E:$E,ROW()))</f>
        <v/>
      </c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4" t="str">
        <f t="shared" si="0"/>
        <v/>
      </c>
      <c r="AK19" s="24" t="str">
        <f t="shared" si="1"/>
        <v/>
      </c>
      <c r="AL19" s="25" t="str">
        <f>IF(B19="","",AJ19*N(D19)+AK19*N(D19)/Setup!$B$6*Setup!$B$7)</f>
        <v/>
      </c>
      <c r="AM19" s="25" t="str">
        <f>IF(B19="","",SUMIFS(Payments!$D$5:$D$304,Payments!$B$5:$B$304,A19,Payments!$A$5:$A$304,"&gt;="&amp;DATE(Setup!$B$4,11,1),Payments!$A$5:$A$304,"&lt;="&amp;EOMONTH(DATE(Setup!$B$4,11,1),0)))</f>
        <v/>
      </c>
      <c r="AN19" s="25" t="str">
        <f t="shared" si="2"/>
        <v/>
      </c>
    </row>
    <row r="20" spans="1:40" x14ac:dyDescent="0.3">
      <c r="A20" s="14" t="str">
        <f>IF(INDEX(Workers!$B:$B,ROW())="","",INDEX(Workers!$B:$B,ROW()))</f>
        <v/>
      </c>
      <c r="B20" s="21" t="str">
        <f>IF(INDEX(Workers!$C:$C,ROW())="","",INDEX(Workers!$C:$C,ROW()))</f>
        <v/>
      </c>
      <c r="C20" s="21" t="str">
        <f>IF(INDEX(Workers!$D:$D,ROW())="","",INDEX(Workers!$D:$D,ROW()))</f>
        <v/>
      </c>
      <c r="D20" s="22" t="str">
        <f>IF(INDEX(Workers!$E:$E,ROW())="","",INDEX(Workers!$E:$E,ROW()))</f>
        <v/>
      </c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4" t="str">
        <f t="shared" si="0"/>
        <v/>
      </c>
      <c r="AK20" s="24" t="str">
        <f t="shared" si="1"/>
        <v/>
      </c>
      <c r="AL20" s="25" t="str">
        <f>IF(B20="","",AJ20*N(D20)+AK20*N(D20)/Setup!$B$6*Setup!$B$7)</f>
        <v/>
      </c>
      <c r="AM20" s="25" t="str">
        <f>IF(B20="","",SUMIFS(Payments!$D$5:$D$304,Payments!$B$5:$B$304,A20,Payments!$A$5:$A$304,"&gt;="&amp;DATE(Setup!$B$4,11,1),Payments!$A$5:$A$304,"&lt;="&amp;EOMONTH(DATE(Setup!$B$4,11,1),0)))</f>
        <v/>
      </c>
      <c r="AN20" s="25" t="str">
        <f t="shared" si="2"/>
        <v/>
      </c>
    </row>
    <row r="21" spans="1:40" x14ac:dyDescent="0.3">
      <c r="A21" s="14" t="str">
        <f>IF(INDEX(Workers!$B:$B,ROW())="","",INDEX(Workers!$B:$B,ROW()))</f>
        <v/>
      </c>
      <c r="B21" s="21" t="str">
        <f>IF(INDEX(Workers!$C:$C,ROW())="","",INDEX(Workers!$C:$C,ROW()))</f>
        <v/>
      </c>
      <c r="C21" s="21" t="str">
        <f>IF(INDEX(Workers!$D:$D,ROW())="","",INDEX(Workers!$D:$D,ROW()))</f>
        <v/>
      </c>
      <c r="D21" s="22" t="str">
        <f>IF(INDEX(Workers!$E:$E,ROW())="","",INDEX(Workers!$E:$E,ROW()))</f>
        <v/>
      </c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4" t="str">
        <f t="shared" si="0"/>
        <v/>
      </c>
      <c r="AK21" s="24" t="str">
        <f t="shared" si="1"/>
        <v/>
      </c>
      <c r="AL21" s="25" t="str">
        <f>IF(B21="","",AJ21*N(D21)+AK21*N(D21)/Setup!$B$6*Setup!$B$7)</f>
        <v/>
      </c>
      <c r="AM21" s="25" t="str">
        <f>IF(B21="","",SUMIFS(Payments!$D$5:$D$304,Payments!$B$5:$B$304,A21,Payments!$A$5:$A$304,"&gt;="&amp;DATE(Setup!$B$4,11,1),Payments!$A$5:$A$304,"&lt;="&amp;EOMONTH(DATE(Setup!$B$4,11,1),0)))</f>
        <v/>
      </c>
      <c r="AN21" s="25" t="str">
        <f t="shared" si="2"/>
        <v/>
      </c>
    </row>
    <row r="22" spans="1:40" x14ac:dyDescent="0.3">
      <c r="A22" s="14" t="str">
        <f>IF(INDEX(Workers!$B:$B,ROW())="","",INDEX(Workers!$B:$B,ROW()))</f>
        <v/>
      </c>
      <c r="B22" s="21" t="str">
        <f>IF(INDEX(Workers!$C:$C,ROW())="","",INDEX(Workers!$C:$C,ROW()))</f>
        <v/>
      </c>
      <c r="C22" s="21" t="str">
        <f>IF(INDEX(Workers!$D:$D,ROW())="","",INDEX(Workers!$D:$D,ROW()))</f>
        <v/>
      </c>
      <c r="D22" s="22" t="str">
        <f>IF(INDEX(Workers!$E:$E,ROW())="","",INDEX(Workers!$E:$E,ROW()))</f>
        <v/>
      </c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4" t="str">
        <f t="shared" si="0"/>
        <v/>
      </c>
      <c r="AK22" s="24" t="str">
        <f t="shared" si="1"/>
        <v/>
      </c>
      <c r="AL22" s="25" t="str">
        <f>IF(B22="","",AJ22*N(D22)+AK22*N(D22)/Setup!$B$6*Setup!$B$7)</f>
        <v/>
      </c>
      <c r="AM22" s="25" t="str">
        <f>IF(B22="","",SUMIFS(Payments!$D$5:$D$304,Payments!$B$5:$B$304,A22,Payments!$A$5:$A$304,"&gt;="&amp;DATE(Setup!$B$4,11,1),Payments!$A$5:$A$304,"&lt;="&amp;EOMONTH(DATE(Setup!$B$4,11,1),0)))</f>
        <v/>
      </c>
      <c r="AN22" s="25" t="str">
        <f t="shared" si="2"/>
        <v/>
      </c>
    </row>
    <row r="23" spans="1:40" x14ac:dyDescent="0.3">
      <c r="A23" s="14" t="str">
        <f>IF(INDEX(Workers!$B:$B,ROW())="","",INDEX(Workers!$B:$B,ROW()))</f>
        <v/>
      </c>
      <c r="B23" s="21" t="str">
        <f>IF(INDEX(Workers!$C:$C,ROW())="","",INDEX(Workers!$C:$C,ROW()))</f>
        <v/>
      </c>
      <c r="C23" s="21" t="str">
        <f>IF(INDEX(Workers!$D:$D,ROW())="","",INDEX(Workers!$D:$D,ROW()))</f>
        <v/>
      </c>
      <c r="D23" s="22" t="str">
        <f>IF(INDEX(Workers!$E:$E,ROW())="","",INDEX(Workers!$E:$E,ROW()))</f>
        <v/>
      </c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4" t="str">
        <f t="shared" si="0"/>
        <v/>
      </c>
      <c r="AK23" s="24" t="str">
        <f t="shared" si="1"/>
        <v/>
      </c>
      <c r="AL23" s="25" t="str">
        <f>IF(B23="","",AJ23*N(D23)+AK23*N(D23)/Setup!$B$6*Setup!$B$7)</f>
        <v/>
      </c>
      <c r="AM23" s="25" t="str">
        <f>IF(B23="","",SUMIFS(Payments!$D$5:$D$304,Payments!$B$5:$B$304,A23,Payments!$A$5:$A$304,"&gt;="&amp;DATE(Setup!$B$4,11,1),Payments!$A$5:$A$304,"&lt;="&amp;EOMONTH(DATE(Setup!$B$4,11,1),0)))</f>
        <v/>
      </c>
      <c r="AN23" s="25" t="str">
        <f t="shared" si="2"/>
        <v/>
      </c>
    </row>
    <row r="24" spans="1:40" x14ac:dyDescent="0.3">
      <c r="A24" s="14" t="str">
        <f>IF(INDEX(Workers!$B:$B,ROW())="","",INDEX(Workers!$B:$B,ROW()))</f>
        <v/>
      </c>
      <c r="B24" s="21" t="str">
        <f>IF(INDEX(Workers!$C:$C,ROW())="","",INDEX(Workers!$C:$C,ROW()))</f>
        <v/>
      </c>
      <c r="C24" s="21" t="str">
        <f>IF(INDEX(Workers!$D:$D,ROW())="","",INDEX(Workers!$D:$D,ROW()))</f>
        <v/>
      </c>
      <c r="D24" s="22" t="str">
        <f>IF(INDEX(Workers!$E:$E,ROW())="","",INDEX(Workers!$E:$E,ROW()))</f>
        <v/>
      </c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4" t="str">
        <f t="shared" si="0"/>
        <v/>
      </c>
      <c r="AK24" s="24" t="str">
        <f t="shared" si="1"/>
        <v/>
      </c>
      <c r="AL24" s="25" t="str">
        <f>IF(B24="","",AJ24*N(D24)+AK24*N(D24)/Setup!$B$6*Setup!$B$7)</f>
        <v/>
      </c>
      <c r="AM24" s="25" t="str">
        <f>IF(B24="","",SUMIFS(Payments!$D$5:$D$304,Payments!$B$5:$B$304,A24,Payments!$A$5:$A$304,"&gt;="&amp;DATE(Setup!$B$4,11,1),Payments!$A$5:$A$304,"&lt;="&amp;EOMONTH(DATE(Setup!$B$4,11,1),0)))</f>
        <v/>
      </c>
      <c r="AN24" s="25" t="str">
        <f t="shared" si="2"/>
        <v/>
      </c>
    </row>
    <row r="25" spans="1:40" x14ac:dyDescent="0.3">
      <c r="A25" s="14" t="str">
        <f>IF(INDEX(Workers!$B:$B,ROW())="","",INDEX(Workers!$B:$B,ROW()))</f>
        <v/>
      </c>
      <c r="B25" s="21" t="str">
        <f>IF(INDEX(Workers!$C:$C,ROW())="","",INDEX(Workers!$C:$C,ROW()))</f>
        <v/>
      </c>
      <c r="C25" s="21" t="str">
        <f>IF(INDEX(Workers!$D:$D,ROW())="","",INDEX(Workers!$D:$D,ROW()))</f>
        <v/>
      </c>
      <c r="D25" s="22" t="str">
        <f>IF(INDEX(Workers!$E:$E,ROW())="","",INDEX(Workers!$E:$E,ROW()))</f>
        <v/>
      </c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4" t="str">
        <f t="shared" si="0"/>
        <v/>
      </c>
      <c r="AK25" s="24" t="str">
        <f t="shared" si="1"/>
        <v/>
      </c>
      <c r="AL25" s="25" t="str">
        <f>IF(B25="","",AJ25*N(D25)+AK25*N(D25)/Setup!$B$6*Setup!$B$7)</f>
        <v/>
      </c>
      <c r="AM25" s="25" t="str">
        <f>IF(B25="","",SUMIFS(Payments!$D$5:$D$304,Payments!$B$5:$B$304,A25,Payments!$A$5:$A$304,"&gt;="&amp;DATE(Setup!$B$4,11,1),Payments!$A$5:$A$304,"&lt;="&amp;EOMONTH(DATE(Setup!$B$4,11,1),0)))</f>
        <v/>
      </c>
      <c r="AN25" s="25" t="str">
        <f t="shared" si="2"/>
        <v/>
      </c>
    </row>
    <row r="26" spans="1:40" x14ac:dyDescent="0.3">
      <c r="A26" s="14" t="str">
        <f>IF(INDEX(Workers!$B:$B,ROW())="","",INDEX(Workers!$B:$B,ROW()))</f>
        <v/>
      </c>
      <c r="B26" s="21" t="str">
        <f>IF(INDEX(Workers!$C:$C,ROW())="","",INDEX(Workers!$C:$C,ROW()))</f>
        <v/>
      </c>
      <c r="C26" s="21" t="str">
        <f>IF(INDEX(Workers!$D:$D,ROW())="","",INDEX(Workers!$D:$D,ROW()))</f>
        <v/>
      </c>
      <c r="D26" s="22" t="str">
        <f>IF(INDEX(Workers!$E:$E,ROW())="","",INDEX(Workers!$E:$E,ROW()))</f>
        <v/>
      </c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4" t="str">
        <f t="shared" si="0"/>
        <v/>
      </c>
      <c r="AK26" s="24" t="str">
        <f t="shared" si="1"/>
        <v/>
      </c>
      <c r="AL26" s="25" t="str">
        <f>IF(B26="","",AJ26*N(D26)+AK26*N(D26)/Setup!$B$6*Setup!$B$7)</f>
        <v/>
      </c>
      <c r="AM26" s="25" t="str">
        <f>IF(B26="","",SUMIFS(Payments!$D$5:$D$304,Payments!$B$5:$B$304,A26,Payments!$A$5:$A$304,"&gt;="&amp;DATE(Setup!$B$4,11,1),Payments!$A$5:$A$304,"&lt;="&amp;EOMONTH(DATE(Setup!$B$4,11,1),0)))</f>
        <v/>
      </c>
      <c r="AN26" s="25" t="str">
        <f t="shared" si="2"/>
        <v/>
      </c>
    </row>
    <row r="27" spans="1:40" x14ac:dyDescent="0.3">
      <c r="A27" s="14" t="str">
        <f>IF(INDEX(Workers!$B:$B,ROW())="","",INDEX(Workers!$B:$B,ROW()))</f>
        <v/>
      </c>
      <c r="B27" s="21" t="str">
        <f>IF(INDEX(Workers!$C:$C,ROW())="","",INDEX(Workers!$C:$C,ROW()))</f>
        <v/>
      </c>
      <c r="C27" s="21" t="str">
        <f>IF(INDEX(Workers!$D:$D,ROW())="","",INDEX(Workers!$D:$D,ROW()))</f>
        <v/>
      </c>
      <c r="D27" s="22" t="str">
        <f>IF(INDEX(Workers!$E:$E,ROW())="","",INDEX(Workers!$E:$E,ROW()))</f>
        <v/>
      </c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4" t="str">
        <f t="shared" si="0"/>
        <v/>
      </c>
      <c r="AK27" s="24" t="str">
        <f t="shared" si="1"/>
        <v/>
      </c>
      <c r="AL27" s="25" t="str">
        <f>IF(B27="","",AJ27*N(D27)+AK27*N(D27)/Setup!$B$6*Setup!$B$7)</f>
        <v/>
      </c>
      <c r="AM27" s="25" t="str">
        <f>IF(B27="","",SUMIFS(Payments!$D$5:$D$304,Payments!$B$5:$B$304,A27,Payments!$A$5:$A$304,"&gt;="&amp;DATE(Setup!$B$4,11,1),Payments!$A$5:$A$304,"&lt;="&amp;EOMONTH(DATE(Setup!$B$4,11,1),0)))</f>
        <v/>
      </c>
      <c r="AN27" s="25" t="str">
        <f t="shared" si="2"/>
        <v/>
      </c>
    </row>
    <row r="28" spans="1:40" x14ac:dyDescent="0.3">
      <c r="A28" s="14" t="str">
        <f>IF(INDEX(Workers!$B:$B,ROW())="","",INDEX(Workers!$B:$B,ROW()))</f>
        <v/>
      </c>
      <c r="B28" s="21" t="str">
        <f>IF(INDEX(Workers!$C:$C,ROW())="","",INDEX(Workers!$C:$C,ROW()))</f>
        <v/>
      </c>
      <c r="C28" s="21" t="str">
        <f>IF(INDEX(Workers!$D:$D,ROW())="","",INDEX(Workers!$D:$D,ROW()))</f>
        <v/>
      </c>
      <c r="D28" s="22" t="str">
        <f>IF(INDEX(Workers!$E:$E,ROW())="","",INDEX(Workers!$E:$E,ROW()))</f>
        <v/>
      </c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4" t="str">
        <f t="shared" si="0"/>
        <v/>
      </c>
      <c r="AK28" s="24" t="str">
        <f t="shared" si="1"/>
        <v/>
      </c>
      <c r="AL28" s="25" t="str">
        <f>IF(B28="","",AJ28*N(D28)+AK28*N(D28)/Setup!$B$6*Setup!$B$7)</f>
        <v/>
      </c>
      <c r="AM28" s="25" t="str">
        <f>IF(B28="","",SUMIFS(Payments!$D$5:$D$304,Payments!$B$5:$B$304,A28,Payments!$A$5:$A$304,"&gt;="&amp;DATE(Setup!$B$4,11,1),Payments!$A$5:$A$304,"&lt;="&amp;EOMONTH(DATE(Setup!$B$4,11,1),0)))</f>
        <v/>
      </c>
      <c r="AN28" s="25" t="str">
        <f t="shared" si="2"/>
        <v/>
      </c>
    </row>
    <row r="29" spans="1:40" x14ac:dyDescent="0.3">
      <c r="A29" s="14" t="str">
        <f>IF(INDEX(Workers!$B:$B,ROW())="","",INDEX(Workers!$B:$B,ROW()))</f>
        <v/>
      </c>
      <c r="B29" s="21" t="str">
        <f>IF(INDEX(Workers!$C:$C,ROW())="","",INDEX(Workers!$C:$C,ROW()))</f>
        <v/>
      </c>
      <c r="C29" s="21" t="str">
        <f>IF(INDEX(Workers!$D:$D,ROW())="","",INDEX(Workers!$D:$D,ROW()))</f>
        <v/>
      </c>
      <c r="D29" s="22" t="str">
        <f>IF(INDEX(Workers!$E:$E,ROW())="","",INDEX(Workers!$E:$E,ROW()))</f>
        <v/>
      </c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4" t="str">
        <f t="shared" si="0"/>
        <v/>
      </c>
      <c r="AK29" s="24" t="str">
        <f t="shared" si="1"/>
        <v/>
      </c>
      <c r="AL29" s="25" t="str">
        <f>IF(B29="","",AJ29*N(D29)+AK29*N(D29)/Setup!$B$6*Setup!$B$7)</f>
        <v/>
      </c>
      <c r="AM29" s="25" t="str">
        <f>IF(B29="","",SUMIFS(Payments!$D$5:$D$304,Payments!$B$5:$B$304,A29,Payments!$A$5:$A$304,"&gt;="&amp;DATE(Setup!$B$4,11,1),Payments!$A$5:$A$304,"&lt;="&amp;EOMONTH(DATE(Setup!$B$4,11,1),0)))</f>
        <v/>
      </c>
      <c r="AN29" s="25" t="str">
        <f t="shared" si="2"/>
        <v/>
      </c>
    </row>
    <row r="30" spans="1:40" x14ac:dyDescent="0.3">
      <c r="A30" s="14" t="str">
        <f>IF(INDEX(Workers!$B:$B,ROW())="","",INDEX(Workers!$B:$B,ROW()))</f>
        <v/>
      </c>
      <c r="B30" s="21" t="str">
        <f>IF(INDEX(Workers!$C:$C,ROW())="","",INDEX(Workers!$C:$C,ROW()))</f>
        <v/>
      </c>
      <c r="C30" s="21" t="str">
        <f>IF(INDEX(Workers!$D:$D,ROW())="","",INDEX(Workers!$D:$D,ROW()))</f>
        <v/>
      </c>
      <c r="D30" s="22" t="str">
        <f>IF(INDEX(Workers!$E:$E,ROW())="","",INDEX(Workers!$E:$E,ROW()))</f>
        <v/>
      </c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4" t="str">
        <f t="shared" si="0"/>
        <v/>
      </c>
      <c r="AK30" s="24" t="str">
        <f t="shared" si="1"/>
        <v/>
      </c>
      <c r="AL30" s="25" t="str">
        <f>IF(B30="","",AJ30*N(D30)+AK30*N(D30)/Setup!$B$6*Setup!$B$7)</f>
        <v/>
      </c>
      <c r="AM30" s="25" t="str">
        <f>IF(B30="","",SUMIFS(Payments!$D$5:$D$304,Payments!$B$5:$B$304,A30,Payments!$A$5:$A$304,"&gt;="&amp;DATE(Setup!$B$4,11,1),Payments!$A$5:$A$304,"&lt;="&amp;EOMONTH(DATE(Setup!$B$4,11,1),0)))</f>
        <v/>
      </c>
      <c r="AN30" s="25" t="str">
        <f t="shared" si="2"/>
        <v/>
      </c>
    </row>
    <row r="31" spans="1:40" x14ac:dyDescent="0.3">
      <c r="A31" s="14" t="str">
        <f>IF(INDEX(Workers!$B:$B,ROW())="","",INDEX(Workers!$B:$B,ROW()))</f>
        <v/>
      </c>
      <c r="B31" s="21" t="str">
        <f>IF(INDEX(Workers!$C:$C,ROW())="","",INDEX(Workers!$C:$C,ROW()))</f>
        <v/>
      </c>
      <c r="C31" s="21" t="str">
        <f>IF(INDEX(Workers!$D:$D,ROW())="","",INDEX(Workers!$D:$D,ROW()))</f>
        <v/>
      </c>
      <c r="D31" s="22" t="str">
        <f>IF(INDEX(Workers!$E:$E,ROW())="","",INDEX(Workers!$E:$E,ROW()))</f>
        <v/>
      </c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4" t="str">
        <f t="shared" si="0"/>
        <v/>
      </c>
      <c r="AK31" s="24" t="str">
        <f t="shared" si="1"/>
        <v/>
      </c>
      <c r="AL31" s="25" t="str">
        <f>IF(B31="","",AJ31*N(D31)+AK31*N(D31)/Setup!$B$6*Setup!$B$7)</f>
        <v/>
      </c>
      <c r="AM31" s="25" t="str">
        <f>IF(B31="","",SUMIFS(Payments!$D$5:$D$304,Payments!$B$5:$B$304,A31,Payments!$A$5:$A$304,"&gt;="&amp;DATE(Setup!$B$4,11,1),Payments!$A$5:$A$304,"&lt;="&amp;EOMONTH(DATE(Setup!$B$4,11,1),0)))</f>
        <v/>
      </c>
      <c r="AN31" s="25" t="str">
        <f t="shared" si="2"/>
        <v/>
      </c>
    </row>
    <row r="32" spans="1:40" x14ac:dyDescent="0.3">
      <c r="A32" s="14" t="str">
        <f>IF(INDEX(Workers!$B:$B,ROW())="","",INDEX(Workers!$B:$B,ROW()))</f>
        <v/>
      </c>
      <c r="B32" s="21" t="str">
        <f>IF(INDEX(Workers!$C:$C,ROW())="","",INDEX(Workers!$C:$C,ROW()))</f>
        <v/>
      </c>
      <c r="C32" s="21" t="str">
        <f>IF(INDEX(Workers!$D:$D,ROW())="","",INDEX(Workers!$D:$D,ROW()))</f>
        <v/>
      </c>
      <c r="D32" s="22" t="str">
        <f>IF(INDEX(Workers!$E:$E,ROW())="","",INDEX(Workers!$E:$E,ROW()))</f>
        <v/>
      </c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4" t="str">
        <f t="shared" si="0"/>
        <v/>
      </c>
      <c r="AK32" s="24" t="str">
        <f t="shared" si="1"/>
        <v/>
      </c>
      <c r="AL32" s="25" t="str">
        <f>IF(B32="","",AJ32*N(D32)+AK32*N(D32)/Setup!$B$6*Setup!$B$7)</f>
        <v/>
      </c>
      <c r="AM32" s="25" t="str">
        <f>IF(B32="","",SUMIFS(Payments!$D$5:$D$304,Payments!$B$5:$B$304,A32,Payments!$A$5:$A$304,"&gt;="&amp;DATE(Setup!$B$4,11,1),Payments!$A$5:$A$304,"&lt;="&amp;EOMONTH(DATE(Setup!$B$4,11,1),0)))</f>
        <v/>
      </c>
      <c r="AN32" s="25" t="str">
        <f t="shared" si="2"/>
        <v/>
      </c>
    </row>
    <row r="33" spans="1:40" x14ac:dyDescent="0.3">
      <c r="A33" s="14" t="str">
        <f>IF(INDEX(Workers!$B:$B,ROW())="","",INDEX(Workers!$B:$B,ROW()))</f>
        <v/>
      </c>
      <c r="B33" s="21" t="str">
        <f>IF(INDEX(Workers!$C:$C,ROW())="","",INDEX(Workers!$C:$C,ROW()))</f>
        <v/>
      </c>
      <c r="C33" s="21" t="str">
        <f>IF(INDEX(Workers!$D:$D,ROW())="","",INDEX(Workers!$D:$D,ROW()))</f>
        <v/>
      </c>
      <c r="D33" s="22" t="str">
        <f>IF(INDEX(Workers!$E:$E,ROW())="","",INDEX(Workers!$E:$E,ROW()))</f>
        <v/>
      </c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4" t="str">
        <f t="shared" si="0"/>
        <v/>
      </c>
      <c r="AK33" s="24" t="str">
        <f t="shared" si="1"/>
        <v/>
      </c>
      <c r="AL33" s="25" t="str">
        <f>IF(B33="","",AJ33*N(D33)+AK33*N(D33)/Setup!$B$6*Setup!$B$7)</f>
        <v/>
      </c>
      <c r="AM33" s="25" t="str">
        <f>IF(B33="","",SUMIFS(Payments!$D$5:$D$304,Payments!$B$5:$B$304,A33,Payments!$A$5:$A$304,"&gt;="&amp;DATE(Setup!$B$4,11,1),Payments!$A$5:$A$304,"&lt;="&amp;EOMONTH(DATE(Setup!$B$4,11,1),0)))</f>
        <v/>
      </c>
      <c r="AN33" s="25" t="str">
        <f t="shared" si="2"/>
        <v/>
      </c>
    </row>
    <row r="34" spans="1:40" x14ac:dyDescent="0.3">
      <c r="A34" s="14" t="str">
        <f>IF(INDEX(Workers!$B:$B,ROW())="","",INDEX(Workers!$B:$B,ROW()))</f>
        <v/>
      </c>
      <c r="B34" s="21" t="str">
        <f>IF(INDEX(Workers!$C:$C,ROW())="","",INDEX(Workers!$C:$C,ROW()))</f>
        <v/>
      </c>
      <c r="C34" s="21" t="str">
        <f>IF(INDEX(Workers!$D:$D,ROW())="","",INDEX(Workers!$D:$D,ROW()))</f>
        <v/>
      </c>
      <c r="D34" s="22" t="str">
        <f>IF(INDEX(Workers!$E:$E,ROW())="","",INDEX(Workers!$E:$E,ROW()))</f>
        <v/>
      </c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4" t="str">
        <f t="shared" si="0"/>
        <v/>
      </c>
      <c r="AK34" s="24" t="str">
        <f t="shared" si="1"/>
        <v/>
      </c>
      <c r="AL34" s="25" t="str">
        <f>IF(B34="","",AJ34*N(D34)+AK34*N(D34)/Setup!$B$6*Setup!$B$7)</f>
        <v/>
      </c>
      <c r="AM34" s="25" t="str">
        <f>IF(B34="","",SUMIFS(Payments!$D$5:$D$304,Payments!$B$5:$B$304,A34,Payments!$A$5:$A$304,"&gt;="&amp;DATE(Setup!$B$4,11,1),Payments!$A$5:$A$304,"&lt;="&amp;EOMONTH(DATE(Setup!$B$4,11,1),0)))</f>
        <v/>
      </c>
      <c r="AN34" s="25" t="str">
        <f t="shared" si="2"/>
        <v/>
      </c>
    </row>
    <row r="35" spans="1:40" x14ac:dyDescent="0.3">
      <c r="A35" s="14" t="str">
        <f>IF(INDEX(Workers!$B:$B,ROW())="","",INDEX(Workers!$B:$B,ROW()))</f>
        <v/>
      </c>
      <c r="B35" s="21" t="str">
        <f>IF(INDEX(Workers!$C:$C,ROW())="","",INDEX(Workers!$C:$C,ROW()))</f>
        <v/>
      </c>
      <c r="C35" s="21" t="str">
        <f>IF(INDEX(Workers!$D:$D,ROW())="","",INDEX(Workers!$D:$D,ROW()))</f>
        <v/>
      </c>
      <c r="D35" s="22" t="str">
        <f>IF(INDEX(Workers!$E:$E,ROW())="","",INDEX(Workers!$E:$E,ROW()))</f>
        <v/>
      </c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4" t="str">
        <f t="shared" si="0"/>
        <v/>
      </c>
      <c r="AK35" s="24" t="str">
        <f t="shared" si="1"/>
        <v/>
      </c>
      <c r="AL35" s="25" t="str">
        <f>IF(B35="","",AJ35*N(D35)+AK35*N(D35)/Setup!$B$6*Setup!$B$7)</f>
        <v/>
      </c>
      <c r="AM35" s="25" t="str">
        <f>IF(B35="","",SUMIFS(Payments!$D$5:$D$304,Payments!$B$5:$B$304,A35,Payments!$A$5:$A$304,"&gt;="&amp;DATE(Setup!$B$4,11,1),Payments!$A$5:$A$304,"&lt;="&amp;EOMONTH(DATE(Setup!$B$4,11,1),0)))</f>
        <v/>
      </c>
      <c r="AN35" s="25" t="str">
        <f t="shared" si="2"/>
        <v/>
      </c>
    </row>
    <row r="36" spans="1:40" x14ac:dyDescent="0.3">
      <c r="A36" s="14" t="str">
        <f>IF(INDEX(Workers!$B:$B,ROW())="","",INDEX(Workers!$B:$B,ROW()))</f>
        <v/>
      </c>
      <c r="B36" s="21" t="str">
        <f>IF(INDEX(Workers!$C:$C,ROW())="","",INDEX(Workers!$C:$C,ROW()))</f>
        <v/>
      </c>
      <c r="C36" s="21" t="str">
        <f>IF(INDEX(Workers!$D:$D,ROW())="","",INDEX(Workers!$D:$D,ROW()))</f>
        <v/>
      </c>
      <c r="D36" s="22" t="str">
        <f>IF(INDEX(Workers!$E:$E,ROW())="","",INDEX(Workers!$E:$E,ROW()))</f>
        <v/>
      </c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4" t="str">
        <f t="shared" si="0"/>
        <v/>
      </c>
      <c r="AK36" s="24" t="str">
        <f t="shared" si="1"/>
        <v/>
      </c>
      <c r="AL36" s="25" t="str">
        <f>IF(B36="","",AJ36*N(D36)+AK36*N(D36)/Setup!$B$6*Setup!$B$7)</f>
        <v/>
      </c>
      <c r="AM36" s="25" t="str">
        <f>IF(B36="","",SUMIFS(Payments!$D$5:$D$304,Payments!$B$5:$B$304,A36,Payments!$A$5:$A$304,"&gt;="&amp;DATE(Setup!$B$4,11,1),Payments!$A$5:$A$304,"&lt;="&amp;EOMONTH(DATE(Setup!$B$4,11,1),0)))</f>
        <v/>
      </c>
      <c r="AN36" s="25" t="str">
        <f t="shared" si="2"/>
        <v/>
      </c>
    </row>
    <row r="37" spans="1:40" x14ac:dyDescent="0.3">
      <c r="A37" s="14" t="str">
        <f>IF(INDEX(Workers!$B:$B,ROW())="","",INDEX(Workers!$B:$B,ROW()))</f>
        <v/>
      </c>
      <c r="B37" s="21" t="str">
        <f>IF(INDEX(Workers!$C:$C,ROW())="","",INDEX(Workers!$C:$C,ROW()))</f>
        <v/>
      </c>
      <c r="C37" s="21" t="str">
        <f>IF(INDEX(Workers!$D:$D,ROW())="","",INDEX(Workers!$D:$D,ROW()))</f>
        <v/>
      </c>
      <c r="D37" s="22" t="str">
        <f>IF(INDEX(Workers!$E:$E,ROW())="","",INDEX(Workers!$E:$E,ROW()))</f>
        <v/>
      </c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4" t="str">
        <f t="shared" si="0"/>
        <v/>
      </c>
      <c r="AK37" s="24" t="str">
        <f t="shared" si="1"/>
        <v/>
      </c>
      <c r="AL37" s="25" t="str">
        <f>IF(B37="","",AJ37*N(D37)+AK37*N(D37)/Setup!$B$6*Setup!$B$7)</f>
        <v/>
      </c>
      <c r="AM37" s="25" t="str">
        <f>IF(B37="","",SUMIFS(Payments!$D$5:$D$304,Payments!$B$5:$B$304,A37,Payments!$A$5:$A$304,"&gt;="&amp;DATE(Setup!$B$4,11,1),Payments!$A$5:$A$304,"&lt;="&amp;EOMONTH(DATE(Setup!$B$4,11,1),0)))</f>
        <v/>
      </c>
      <c r="AN37" s="25" t="str">
        <f t="shared" si="2"/>
        <v/>
      </c>
    </row>
    <row r="38" spans="1:40" x14ac:dyDescent="0.3">
      <c r="A38" s="14" t="str">
        <f>IF(INDEX(Workers!$B:$B,ROW())="","",INDEX(Workers!$B:$B,ROW()))</f>
        <v/>
      </c>
      <c r="B38" s="21" t="str">
        <f>IF(INDEX(Workers!$C:$C,ROW())="","",INDEX(Workers!$C:$C,ROW()))</f>
        <v/>
      </c>
      <c r="C38" s="21" t="str">
        <f>IF(INDEX(Workers!$D:$D,ROW())="","",INDEX(Workers!$D:$D,ROW()))</f>
        <v/>
      </c>
      <c r="D38" s="22" t="str">
        <f>IF(INDEX(Workers!$E:$E,ROW())="","",INDEX(Workers!$E:$E,ROW()))</f>
        <v/>
      </c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4" t="str">
        <f t="shared" si="0"/>
        <v/>
      </c>
      <c r="AK38" s="24" t="str">
        <f t="shared" si="1"/>
        <v/>
      </c>
      <c r="AL38" s="25" t="str">
        <f>IF(B38="","",AJ38*N(D38)+AK38*N(D38)/Setup!$B$6*Setup!$B$7)</f>
        <v/>
      </c>
      <c r="AM38" s="25" t="str">
        <f>IF(B38="","",SUMIFS(Payments!$D$5:$D$304,Payments!$B$5:$B$304,A38,Payments!$A$5:$A$304,"&gt;="&amp;DATE(Setup!$B$4,11,1),Payments!$A$5:$A$304,"&lt;="&amp;EOMONTH(DATE(Setup!$B$4,11,1),0)))</f>
        <v/>
      </c>
      <c r="AN38" s="25" t="str">
        <f t="shared" si="2"/>
        <v/>
      </c>
    </row>
    <row r="39" spans="1:40" x14ac:dyDescent="0.3">
      <c r="A39" s="14" t="str">
        <f>IF(INDEX(Workers!$B:$B,ROW())="","",INDEX(Workers!$B:$B,ROW()))</f>
        <v/>
      </c>
      <c r="B39" s="21" t="str">
        <f>IF(INDEX(Workers!$C:$C,ROW())="","",INDEX(Workers!$C:$C,ROW()))</f>
        <v/>
      </c>
      <c r="C39" s="21" t="str">
        <f>IF(INDEX(Workers!$D:$D,ROW())="","",INDEX(Workers!$D:$D,ROW()))</f>
        <v/>
      </c>
      <c r="D39" s="22" t="str">
        <f>IF(INDEX(Workers!$E:$E,ROW())="","",INDEX(Workers!$E:$E,ROW()))</f>
        <v/>
      </c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4" t="str">
        <f t="shared" si="0"/>
        <v/>
      </c>
      <c r="AK39" s="24" t="str">
        <f t="shared" si="1"/>
        <v/>
      </c>
      <c r="AL39" s="25" t="str">
        <f>IF(B39="","",AJ39*N(D39)+AK39*N(D39)/Setup!$B$6*Setup!$B$7)</f>
        <v/>
      </c>
      <c r="AM39" s="25" t="str">
        <f>IF(B39="","",SUMIFS(Payments!$D$5:$D$304,Payments!$B$5:$B$304,A39,Payments!$A$5:$A$304,"&gt;="&amp;DATE(Setup!$B$4,11,1),Payments!$A$5:$A$304,"&lt;="&amp;EOMONTH(DATE(Setup!$B$4,11,1),0)))</f>
        <v/>
      </c>
      <c r="AN39" s="25" t="str">
        <f t="shared" si="2"/>
        <v/>
      </c>
    </row>
    <row r="40" spans="1:40" x14ac:dyDescent="0.3">
      <c r="A40" s="14" t="str">
        <f>IF(INDEX(Workers!$B:$B,ROW())="","",INDEX(Workers!$B:$B,ROW()))</f>
        <v/>
      </c>
      <c r="B40" s="21" t="str">
        <f>IF(INDEX(Workers!$C:$C,ROW())="","",INDEX(Workers!$C:$C,ROW()))</f>
        <v/>
      </c>
      <c r="C40" s="21" t="str">
        <f>IF(INDEX(Workers!$D:$D,ROW())="","",INDEX(Workers!$D:$D,ROW()))</f>
        <v/>
      </c>
      <c r="D40" s="22" t="str">
        <f>IF(INDEX(Workers!$E:$E,ROW())="","",INDEX(Workers!$E:$E,ROW()))</f>
        <v/>
      </c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4" t="str">
        <f t="shared" si="0"/>
        <v/>
      </c>
      <c r="AK40" s="24" t="str">
        <f t="shared" si="1"/>
        <v/>
      </c>
      <c r="AL40" s="25" t="str">
        <f>IF(B40="","",AJ40*N(D40)+AK40*N(D40)/Setup!$B$6*Setup!$B$7)</f>
        <v/>
      </c>
      <c r="AM40" s="25" t="str">
        <f>IF(B40="","",SUMIFS(Payments!$D$5:$D$304,Payments!$B$5:$B$304,A40,Payments!$A$5:$A$304,"&gt;="&amp;DATE(Setup!$B$4,11,1),Payments!$A$5:$A$304,"&lt;="&amp;EOMONTH(DATE(Setup!$B$4,11,1),0)))</f>
        <v/>
      </c>
      <c r="AN40" s="25" t="str">
        <f t="shared" si="2"/>
        <v/>
      </c>
    </row>
    <row r="41" spans="1:40" x14ac:dyDescent="0.3">
      <c r="A41" s="14" t="str">
        <f>IF(INDEX(Workers!$B:$B,ROW())="","",INDEX(Workers!$B:$B,ROW()))</f>
        <v/>
      </c>
      <c r="B41" s="21" t="str">
        <f>IF(INDEX(Workers!$C:$C,ROW())="","",INDEX(Workers!$C:$C,ROW()))</f>
        <v/>
      </c>
      <c r="C41" s="21" t="str">
        <f>IF(INDEX(Workers!$D:$D,ROW())="","",INDEX(Workers!$D:$D,ROW()))</f>
        <v/>
      </c>
      <c r="D41" s="22" t="str">
        <f>IF(INDEX(Workers!$E:$E,ROW())="","",INDEX(Workers!$E:$E,ROW()))</f>
        <v/>
      </c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4" t="str">
        <f t="shared" si="0"/>
        <v/>
      </c>
      <c r="AK41" s="24" t="str">
        <f t="shared" si="1"/>
        <v/>
      </c>
      <c r="AL41" s="25" t="str">
        <f>IF(B41="","",AJ41*N(D41)+AK41*N(D41)/Setup!$B$6*Setup!$B$7)</f>
        <v/>
      </c>
      <c r="AM41" s="25" t="str">
        <f>IF(B41="","",SUMIFS(Payments!$D$5:$D$304,Payments!$B$5:$B$304,A41,Payments!$A$5:$A$304,"&gt;="&amp;DATE(Setup!$B$4,11,1),Payments!$A$5:$A$304,"&lt;="&amp;EOMONTH(DATE(Setup!$B$4,11,1),0)))</f>
        <v/>
      </c>
      <c r="AN41" s="25" t="str">
        <f t="shared" si="2"/>
        <v/>
      </c>
    </row>
    <row r="42" spans="1:40" x14ac:dyDescent="0.3">
      <c r="A42" s="14" t="str">
        <f>IF(INDEX(Workers!$B:$B,ROW())="","",INDEX(Workers!$B:$B,ROW()))</f>
        <v/>
      </c>
      <c r="B42" s="21" t="str">
        <f>IF(INDEX(Workers!$C:$C,ROW())="","",INDEX(Workers!$C:$C,ROW()))</f>
        <v/>
      </c>
      <c r="C42" s="21" t="str">
        <f>IF(INDEX(Workers!$D:$D,ROW())="","",INDEX(Workers!$D:$D,ROW()))</f>
        <v/>
      </c>
      <c r="D42" s="22" t="str">
        <f>IF(INDEX(Workers!$E:$E,ROW())="","",INDEX(Workers!$E:$E,ROW()))</f>
        <v/>
      </c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4" t="str">
        <f t="shared" si="0"/>
        <v/>
      </c>
      <c r="AK42" s="24" t="str">
        <f t="shared" si="1"/>
        <v/>
      </c>
      <c r="AL42" s="25" t="str">
        <f>IF(B42="","",AJ42*N(D42)+AK42*N(D42)/Setup!$B$6*Setup!$B$7)</f>
        <v/>
      </c>
      <c r="AM42" s="25" t="str">
        <f>IF(B42="","",SUMIFS(Payments!$D$5:$D$304,Payments!$B$5:$B$304,A42,Payments!$A$5:$A$304,"&gt;="&amp;DATE(Setup!$B$4,11,1),Payments!$A$5:$A$304,"&lt;="&amp;EOMONTH(DATE(Setup!$B$4,11,1),0)))</f>
        <v/>
      </c>
      <c r="AN42" s="25" t="str">
        <f t="shared" si="2"/>
        <v/>
      </c>
    </row>
    <row r="43" spans="1:40" x14ac:dyDescent="0.3">
      <c r="A43" s="14" t="str">
        <f>IF(INDEX(Workers!$B:$B,ROW())="","",INDEX(Workers!$B:$B,ROW()))</f>
        <v/>
      </c>
      <c r="B43" s="21" t="str">
        <f>IF(INDEX(Workers!$C:$C,ROW())="","",INDEX(Workers!$C:$C,ROW()))</f>
        <v/>
      </c>
      <c r="C43" s="21" t="str">
        <f>IF(INDEX(Workers!$D:$D,ROW())="","",INDEX(Workers!$D:$D,ROW()))</f>
        <v/>
      </c>
      <c r="D43" s="22" t="str">
        <f>IF(INDEX(Workers!$E:$E,ROW())="","",INDEX(Workers!$E:$E,ROW()))</f>
        <v/>
      </c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4" t="str">
        <f t="shared" si="0"/>
        <v/>
      </c>
      <c r="AK43" s="24" t="str">
        <f t="shared" si="1"/>
        <v/>
      </c>
      <c r="AL43" s="25" t="str">
        <f>IF(B43="","",AJ43*N(D43)+AK43*N(D43)/Setup!$B$6*Setup!$B$7)</f>
        <v/>
      </c>
      <c r="AM43" s="25" t="str">
        <f>IF(B43="","",SUMIFS(Payments!$D$5:$D$304,Payments!$B$5:$B$304,A43,Payments!$A$5:$A$304,"&gt;="&amp;DATE(Setup!$B$4,11,1),Payments!$A$5:$A$304,"&lt;="&amp;EOMONTH(DATE(Setup!$B$4,11,1),0)))</f>
        <v/>
      </c>
      <c r="AN43" s="25" t="str">
        <f t="shared" si="2"/>
        <v/>
      </c>
    </row>
    <row r="44" spans="1:40" x14ac:dyDescent="0.3">
      <c r="A44" s="14" t="str">
        <f>IF(INDEX(Workers!$B:$B,ROW())="","",INDEX(Workers!$B:$B,ROW()))</f>
        <v/>
      </c>
      <c r="B44" s="21" t="str">
        <f>IF(INDEX(Workers!$C:$C,ROW())="","",INDEX(Workers!$C:$C,ROW()))</f>
        <v/>
      </c>
      <c r="C44" s="21" t="str">
        <f>IF(INDEX(Workers!$D:$D,ROW())="","",INDEX(Workers!$D:$D,ROW()))</f>
        <v/>
      </c>
      <c r="D44" s="22" t="str">
        <f>IF(INDEX(Workers!$E:$E,ROW())="","",INDEX(Workers!$E:$E,ROW()))</f>
        <v/>
      </c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4" t="str">
        <f t="shared" si="0"/>
        <v/>
      </c>
      <c r="AK44" s="24" t="str">
        <f t="shared" si="1"/>
        <v/>
      </c>
      <c r="AL44" s="25" t="str">
        <f>IF(B44="","",AJ44*N(D44)+AK44*N(D44)/Setup!$B$6*Setup!$B$7)</f>
        <v/>
      </c>
      <c r="AM44" s="25" t="str">
        <f>IF(B44="","",SUMIFS(Payments!$D$5:$D$304,Payments!$B$5:$B$304,A44,Payments!$A$5:$A$304,"&gt;="&amp;DATE(Setup!$B$4,11,1),Payments!$A$5:$A$304,"&lt;="&amp;EOMONTH(DATE(Setup!$B$4,11,1),0)))</f>
        <v/>
      </c>
      <c r="AN44" s="25" t="str">
        <f t="shared" si="2"/>
        <v/>
      </c>
    </row>
    <row r="45" spans="1:40" x14ac:dyDescent="0.3">
      <c r="A45" s="26"/>
      <c r="B45" s="26" t="s">
        <v>88</v>
      </c>
      <c r="C45" s="26"/>
      <c r="D45" s="26"/>
      <c r="E45" s="27">
        <f t="shared" ref="E45:AI45" si="3">IF(E$3="","",COUNTIF(E5:E44,"P")+COUNTIF(E5:E44,"H")+COUNT(E5:E44))</f>
        <v>0</v>
      </c>
      <c r="F45" s="27">
        <f t="shared" si="3"/>
        <v>0</v>
      </c>
      <c r="G45" s="27">
        <f t="shared" si="3"/>
        <v>0</v>
      </c>
      <c r="H45" s="27">
        <f t="shared" si="3"/>
        <v>0</v>
      </c>
      <c r="I45" s="27">
        <f t="shared" si="3"/>
        <v>0</v>
      </c>
      <c r="J45" s="27">
        <f t="shared" si="3"/>
        <v>0</v>
      </c>
      <c r="K45" s="27">
        <f t="shared" si="3"/>
        <v>0</v>
      </c>
      <c r="L45" s="27">
        <f t="shared" si="3"/>
        <v>0</v>
      </c>
      <c r="M45" s="27">
        <f t="shared" si="3"/>
        <v>0</v>
      </c>
      <c r="N45" s="27">
        <f t="shared" si="3"/>
        <v>0</v>
      </c>
      <c r="O45" s="27">
        <f t="shared" si="3"/>
        <v>0</v>
      </c>
      <c r="P45" s="27">
        <f t="shared" si="3"/>
        <v>0</v>
      </c>
      <c r="Q45" s="27">
        <f t="shared" si="3"/>
        <v>0</v>
      </c>
      <c r="R45" s="27">
        <f t="shared" si="3"/>
        <v>0</v>
      </c>
      <c r="S45" s="27">
        <f t="shared" si="3"/>
        <v>0</v>
      </c>
      <c r="T45" s="27">
        <f t="shared" si="3"/>
        <v>0</v>
      </c>
      <c r="U45" s="27">
        <f t="shared" si="3"/>
        <v>0</v>
      </c>
      <c r="V45" s="27">
        <f t="shared" si="3"/>
        <v>0</v>
      </c>
      <c r="W45" s="27">
        <f t="shared" si="3"/>
        <v>0</v>
      </c>
      <c r="X45" s="27">
        <f t="shared" si="3"/>
        <v>0</v>
      </c>
      <c r="Y45" s="27">
        <f t="shared" si="3"/>
        <v>0</v>
      </c>
      <c r="Z45" s="27">
        <f t="shared" si="3"/>
        <v>0</v>
      </c>
      <c r="AA45" s="27">
        <f t="shared" si="3"/>
        <v>0</v>
      </c>
      <c r="AB45" s="27">
        <f t="shared" si="3"/>
        <v>0</v>
      </c>
      <c r="AC45" s="27">
        <f t="shared" si="3"/>
        <v>0</v>
      </c>
      <c r="AD45" s="27">
        <f t="shared" si="3"/>
        <v>0</v>
      </c>
      <c r="AE45" s="27">
        <f t="shared" si="3"/>
        <v>0</v>
      </c>
      <c r="AF45" s="27">
        <f t="shared" si="3"/>
        <v>0</v>
      </c>
      <c r="AG45" s="27">
        <f t="shared" si="3"/>
        <v>0</v>
      </c>
      <c r="AH45" s="27">
        <f t="shared" si="3"/>
        <v>0</v>
      </c>
      <c r="AI45" s="27" t="str">
        <f t="shared" si="3"/>
        <v/>
      </c>
      <c r="AJ45" s="28">
        <f>SUM(AJ5:AJ44)</f>
        <v>0</v>
      </c>
      <c r="AK45" s="28">
        <f>SUM(AK5:AK44)</f>
        <v>0</v>
      </c>
      <c r="AL45" s="29">
        <f>SUM(AL5:AL44)</f>
        <v>0</v>
      </c>
      <c r="AM45" s="29">
        <f>SUM(AM5:AM44)</f>
        <v>0</v>
      </c>
      <c r="AN45" s="29">
        <f>SUM(AN5:AN44)</f>
        <v>0</v>
      </c>
    </row>
  </sheetData>
  <conditionalFormatting sqref="E3:AI3">
    <cfRule type="expression" dxfId="13" priority="2">
      <formula>E$3="Sun"</formula>
    </cfRule>
  </conditionalFormatting>
  <conditionalFormatting sqref="E3:AI45">
    <cfRule type="expression" dxfId="12" priority="1">
      <formula>E$3=""</formula>
    </cfRule>
  </conditionalFormatting>
  <conditionalFormatting sqref="E5:AI44">
    <cfRule type="expression" dxfId="11" priority="6">
      <formula>E5="A"</formula>
    </cfRule>
    <cfRule type="expression" dxfId="10" priority="7">
      <formula>E5="H"</formula>
    </cfRule>
    <cfRule type="expression" dxfId="9" priority="8">
      <formula>ISNUMBER(E5)</formula>
    </cfRule>
  </conditionalFormatting>
  <conditionalFormatting sqref="E5:AI45">
    <cfRule type="expression" dxfId="8" priority="4">
      <formula>E$3="Sun"</formula>
    </cfRule>
  </conditionalFormatting>
  <conditionalFormatting sqref="AN5:AN44">
    <cfRule type="expression" dxfId="7" priority="9">
      <formula>AN5&lt;0</formula>
    </cfRule>
  </conditionalFormatting>
  <dataValidations count="1">
    <dataValidation type="custom" allowBlank="1" showErrorMessage="1" errorTitle="Attendance code" error="Type P, H, A, L, or the number of overtime hours (0 to 12). Shaded days do not exist in this month." sqref="E5:AI44" xr:uid="{00000000-0002-0000-0D00-000000000000}">
      <formula1>AND(E$3&lt;&gt;"",OR(E5="P",E5="H",E5="A",E5="L",AND(ISNUMBER(E5),E5&gt;=0,E5&lt;=12)))</formula1>
    </dataValidation>
  </dataValidations>
  <printOptions horizontalCentered="1"/>
  <pageMargins left="0.45" right="0.45" top="0.6" bottom="0.6" header="0.3" footer="0.3"/>
  <pageSetup paperSize="9" scale="66" orientation="landscape" r:id="rId1"/>
  <headerFooter>
    <oddFooter>&amp;L&amp;8Free from NirmanDost - nirmandost.in - sign up for more free tools&amp;R&amp;8Page &amp;P of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N45"/>
  <sheetViews>
    <sheetView showGridLines="0" workbookViewId="0">
      <pane xSplit="4" ySplit="4" topLeftCell="E5" activePane="bottomRight" state="frozen"/>
      <selection pane="topRight"/>
      <selection pane="bottomLeft"/>
      <selection pane="bottomRight"/>
    </sheetView>
  </sheetViews>
  <sheetFormatPr defaultRowHeight="14.4" x14ac:dyDescent="0.3"/>
  <cols>
    <col min="1" max="1" width="7" customWidth="1"/>
    <col min="2" max="2" width="24" customWidth="1"/>
    <col min="3" max="3" width="11" customWidth="1"/>
    <col min="4" max="4" width="9" customWidth="1"/>
    <col min="5" max="35" width="3.5546875" customWidth="1"/>
    <col min="36" max="37" width="6.44140625" customWidth="1"/>
    <col min="38" max="38" width="12" customWidth="1"/>
    <col min="39" max="40" width="11" customWidth="1"/>
  </cols>
  <sheetData>
    <row r="1" spans="1:40" ht="17.399999999999999" x14ac:dyDescent="0.3">
      <c r="A1" s="18" t="str">
        <f>"Attendance - "&amp;TEXT(DATE(Setup!$B$4,12,1),"mmmm yyyy")&amp;"   "&amp;Setup!$B$5</f>
        <v>Attendance - December 2026   Type the site name</v>
      </c>
    </row>
    <row r="2" spans="1:40" x14ac:dyDescent="0.3">
      <c r="A2" s="19" t="s">
        <v>49</v>
      </c>
    </row>
    <row r="3" spans="1:40" x14ac:dyDescent="0.3">
      <c r="E3" s="20" t="str">
        <f>IF(1&gt;DAY(EOMONTH(DATE(Setup!$B$4,12,1),0)),"",TEXT(DATE(Setup!$B$4,12,1),"ddd"))</f>
        <v>Tue</v>
      </c>
      <c r="F3" s="20" t="str">
        <f>IF(2&gt;DAY(EOMONTH(DATE(Setup!$B$4,12,1),0)),"",TEXT(DATE(Setup!$B$4,12,2),"ddd"))</f>
        <v>Wed</v>
      </c>
      <c r="G3" s="20" t="str">
        <f>IF(3&gt;DAY(EOMONTH(DATE(Setup!$B$4,12,1),0)),"",TEXT(DATE(Setup!$B$4,12,3),"ddd"))</f>
        <v>Thu</v>
      </c>
      <c r="H3" s="20" t="str">
        <f>IF(4&gt;DAY(EOMONTH(DATE(Setup!$B$4,12,1),0)),"",TEXT(DATE(Setup!$B$4,12,4),"ddd"))</f>
        <v>Fri</v>
      </c>
      <c r="I3" s="20" t="str">
        <f>IF(5&gt;DAY(EOMONTH(DATE(Setup!$B$4,12,1),0)),"",TEXT(DATE(Setup!$B$4,12,5),"ddd"))</f>
        <v>Sat</v>
      </c>
      <c r="J3" s="20" t="str">
        <f>IF(6&gt;DAY(EOMONTH(DATE(Setup!$B$4,12,1),0)),"",TEXT(DATE(Setup!$B$4,12,6),"ddd"))</f>
        <v>Sun</v>
      </c>
      <c r="K3" s="20" t="str">
        <f>IF(7&gt;DAY(EOMONTH(DATE(Setup!$B$4,12,1),0)),"",TEXT(DATE(Setup!$B$4,12,7),"ddd"))</f>
        <v>Mon</v>
      </c>
      <c r="L3" s="20" t="str">
        <f>IF(8&gt;DAY(EOMONTH(DATE(Setup!$B$4,12,1),0)),"",TEXT(DATE(Setup!$B$4,12,8),"ddd"))</f>
        <v>Tue</v>
      </c>
      <c r="M3" s="20" t="str">
        <f>IF(9&gt;DAY(EOMONTH(DATE(Setup!$B$4,12,1),0)),"",TEXT(DATE(Setup!$B$4,12,9),"ddd"))</f>
        <v>Wed</v>
      </c>
      <c r="N3" s="20" t="str">
        <f>IF(10&gt;DAY(EOMONTH(DATE(Setup!$B$4,12,1),0)),"",TEXT(DATE(Setup!$B$4,12,10),"ddd"))</f>
        <v>Thu</v>
      </c>
      <c r="O3" s="20" t="str">
        <f>IF(11&gt;DAY(EOMONTH(DATE(Setup!$B$4,12,1),0)),"",TEXT(DATE(Setup!$B$4,12,11),"ddd"))</f>
        <v>Fri</v>
      </c>
      <c r="P3" s="20" t="str">
        <f>IF(12&gt;DAY(EOMONTH(DATE(Setup!$B$4,12,1),0)),"",TEXT(DATE(Setup!$B$4,12,12),"ddd"))</f>
        <v>Sat</v>
      </c>
      <c r="Q3" s="20" t="str">
        <f>IF(13&gt;DAY(EOMONTH(DATE(Setup!$B$4,12,1),0)),"",TEXT(DATE(Setup!$B$4,12,13),"ddd"))</f>
        <v>Sun</v>
      </c>
      <c r="R3" s="20" t="str">
        <f>IF(14&gt;DAY(EOMONTH(DATE(Setup!$B$4,12,1),0)),"",TEXT(DATE(Setup!$B$4,12,14),"ddd"))</f>
        <v>Mon</v>
      </c>
      <c r="S3" s="20" t="str">
        <f>IF(15&gt;DAY(EOMONTH(DATE(Setup!$B$4,12,1),0)),"",TEXT(DATE(Setup!$B$4,12,15),"ddd"))</f>
        <v>Tue</v>
      </c>
      <c r="T3" s="20" t="str">
        <f>IF(16&gt;DAY(EOMONTH(DATE(Setup!$B$4,12,1),0)),"",TEXT(DATE(Setup!$B$4,12,16),"ddd"))</f>
        <v>Wed</v>
      </c>
      <c r="U3" s="20" t="str">
        <f>IF(17&gt;DAY(EOMONTH(DATE(Setup!$B$4,12,1),0)),"",TEXT(DATE(Setup!$B$4,12,17),"ddd"))</f>
        <v>Thu</v>
      </c>
      <c r="V3" s="20" t="str">
        <f>IF(18&gt;DAY(EOMONTH(DATE(Setup!$B$4,12,1),0)),"",TEXT(DATE(Setup!$B$4,12,18),"ddd"))</f>
        <v>Fri</v>
      </c>
      <c r="W3" s="20" t="str">
        <f>IF(19&gt;DAY(EOMONTH(DATE(Setup!$B$4,12,1),0)),"",TEXT(DATE(Setup!$B$4,12,19),"ddd"))</f>
        <v>Sat</v>
      </c>
      <c r="X3" s="20" t="str">
        <f>IF(20&gt;DAY(EOMONTH(DATE(Setup!$B$4,12,1),0)),"",TEXT(DATE(Setup!$B$4,12,20),"ddd"))</f>
        <v>Sun</v>
      </c>
      <c r="Y3" s="20" t="str">
        <f>IF(21&gt;DAY(EOMONTH(DATE(Setup!$B$4,12,1),0)),"",TEXT(DATE(Setup!$B$4,12,21),"ddd"))</f>
        <v>Mon</v>
      </c>
      <c r="Z3" s="20" t="str">
        <f>IF(22&gt;DAY(EOMONTH(DATE(Setup!$B$4,12,1),0)),"",TEXT(DATE(Setup!$B$4,12,22),"ddd"))</f>
        <v>Tue</v>
      </c>
      <c r="AA3" s="20" t="str">
        <f>IF(23&gt;DAY(EOMONTH(DATE(Setup!$B$4,12,1),0)),"",TEXT(DATE(Setup!$B$4,12,23),"ddd"))</f>
        <v>Wed</v>
      </c>
      <c r="AB3" s="20" t="str">
        <f>IF(24&gt;DAY(EOMONTH(DATE(Setup!$B$4,12,1),0)),"",TEXT(DATE(Setup!$B$4,12,24),"ddd"))</f>
        <v>Thu</v>
      </c>
      <c r="AC3" s="20" t="str">
        <f>IF(25&gt;DAY(EOMONTH(DATE(Setup!$B$4,12,1),0)),"",TEXT(DATE(Setup!$B$4,12,25),"ddd"))</f>
        <v>Fri</v>
      </c>
      <c r="AD3" s="20" t="str">
        <f>IF(26&gt;DAY(EOMONTH(DATE(Setup!$B$4,12,1),0)),"",TEXT(DATE(Setup!$B$4,12,26),"ddd"))</f>
        <v>Sat</v>
      </c>
      <c r="AE3" s="20" t="str">
        <f>IF(27&gt;DAY(EOMONTH(DATE(Setup!$B$4,12,1),0)),"",TEXT(DATE(Setup!$B$4,12,27),"ddd"))</f>
        <v>Sun</v>
      </c>
      <c r="AF3" s="20" t="str">
        <f>IF(28&gt;DAY(EOMONTH(DATE(Setup!$B$4,12,1),0)),"",TEXT(DATE(Setup!$B$4,12,28),"ddd"))</f>
        <v>Mon</v>
      </c>
      <c r="AG3" s="20" t="str">
        <f>IF(29&gt;DAY(EOMONTH(DATE(Setup!$B$4,12,1),0)),"",TEXT(DATE(Setup!$B$4,12,29),"ddd"))</f>
        <v>Tue</v>
      </c>
      <c r="AH3" s="20" t="str">
        <f>IF(30&gt;DAY(EOMONTH(DATE(Setup!$B$4,12,1),0)),"",TEXT(DATE(Setup!$B$4,12,30),"ddd"))</f>
        <v>Wed</v>
      </c>
      <c r="AI3" s="20" t="str">
        <f>IF(31&gt;DAY(EOMONTH(DATE(Setup!$B$4,12,1),0)),"",TEXT(DATE(Setup!$B$4,12,31),"ddd"))</f>
        <v>Thu</v>
      </c>
    </row>
    <row r="4" spans="1:40" ht="28.05" customHeight="1" x14ac:dyDescent="0.3">
      <c r="A4" s="13" t="s">
        <v>50</v>
      </c>
      <c r="B4" s="13" t="s">
        <v>37</v>
      </c>
      <c r="C4" s="13" t="s">
        <v>38</v>
      </c>
      <c r="D4" s="13" t="s">
        <v>51</v>
      </c>
      <c r="E4" s="13" t="s">
        <v>52</v>
      </c>
      <c r="F4" s="13" t="s">
        <v>53</v>
      </c>
      <c r="G4" s="13" t="s">
        <v>54</v>
      </c>
      <c r="H4" s="13" t="s">
        <v>55</v>
      </c>
      <c r="I4" s="13" t="s">
        <v>56</v>
      </c>
      <c r="J4" s="13" t="s">
        <v>57</v>
      </c>
      <c r="K4" s="13" t="s">
        <v>58</v>
      </c>
      <c r="L4" s="13" t="s">
        <v>59</v>
      </c>
      <c r="M4" s="13" t="s">
        <v>60</v>
      </c>
      <c r="N4" s="13" t="s">
        <v>61</v>
      </c>
      <c r="O4" s="13" t="s">
        <v>62</v>
      </c>
      <c r="P4" s="13" t="s">
        <v>63</v>
      </c>
      <c r="Q4" s="13" t="s">
        <v>64</v>
      </c>
      <c r="R4" s="13" t="s">
        <v>65</v>
      </c>
      <c r="S4" s="13" t="s">
        <v>66</v>
      </c>
      <c r="T4" s="13" t="s">
        <v>67</v>
      </c>
      <c r="U4" s="13" t="s">
        <v>68</v>
      </c>
      <c r="V4" s="13" t="s">
        <v>69</v>
      </c>
      <c r="W4" s="13" t="s">
        <v>70</v>
      </c>
      <c r="X4" s="13" t="s">
        <v>71</v>
      </c>
      <c r="Y4" s="13" t="s">
        <v>72</v>
      </c>
      <c r="Z4" s="13" t="s">
        <v>73</v>
      </c>
      <c r="AA4" s="13" t="s">
        <v>74</v>
      </c>
      <c r="AB4" s="13" t="s">
        <v>75</v>
      </c>
      <c r="AC4" s="13" t="s">
        <v>76</v>
      </c>
      <c r="AD4" s="13" t="s">
        <v>77</v>
      </c>
      <c r="AE4" s="13" t="s">
        <v>78</v>
      </c>
      <c r="AF4" s="13" t="s">
        <v>79</v>
      </c>
      <c r="AG4" s="13" t="s">
        <v>80</v>
      </c>
      <c r="AH4" s="13" t="s">
        <v>81</v>
      </c>
      <c r="AI4" s="13" t="s">
        <v>82</v>
      </c>
      <c r="AJ4" s="13" t="s">
        <v>83</v>
      </c>
      <c r="AK4" s="13" t="s">
        <v>84</v>
      </c>
      <c r="AL4" s="13" t="s">
        <v>85</v>
      </c>
      <c r="AM4" s="13" t="s">
        <v>86</v>
      </c>
      <c r="AN4" s="13" t="s">
        <v>87</v>
      </c>
    </row>
    <row r="5" spans="1:40" x14ac:dyDescent="0.3">
      <c r="A5" s="14" t="str">
        <f>IF(INDEX(Workers!$B:$B,ROW())="","",INDEX(Workers!$B:$B,ROW()))</f>
        <v>W-01</v>
      </c>
      <c r="B5" s="21" t="str">
        <f>IF(INDEX(Workers!$C:$C,ROW())="","",INDEX(Workers!$C:$C,ROW()))</f>
        <v>Ramesh (EXAMPLE, clear me)</v>
      </c>
      <c r="C5" s="21" t="str">
        <f>IF(INDEX(Workers!$D:$D,ROW())="","",INDEX(Workers!$D:$D,ROW()))</f>
        <v>Mason</v>
      </c>
      <c r="D5" s="22">
        <f>IF(INDEX(Workers!$E:$E,ROW())="","",INDEX(Workers!$E:$E,ROW()))</f>
        <v>900</v>
      </c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4">
        <f t="shared" ref="AJ5:AJ44" si="0">IF(B5="","",SUMPRODUCT((E$3:AI$3&lt;&gt;"")*(E5:AI5="P"))+0.5*SUMPRODUCT((E$3:AI$3&lt;&gt;"")*(E5:AI5="H"))+SUMPRODUCT((E$3:AI$3&lt;&gt;"")*ISNUMBER(E5:AI5)))</f>
        <v>0</v>
      </c>
      <c r="AK5" s="24">
        <f t="shared" ref="AK5:AK44" si="1">IF(B5="","",SUMPRODUCT((E$3:AI$3&lt;&gt;"")*ISNUMBER(E5:AI5),E5:AI5))</f>
        <v>0</v>
      </c>
      <c r="AL5" s="25">
        <f>IF(B5="","",AJ5*N(D5)+AK5*N(D5)/Setup!$B$6*Setup!$B$7)</f>
        <v>0</v>
      </c>
      <c r="AM5" s="25">
        <f>IF(B5="","",SUMIFS(Payments!$D$5:$D$304,Payments!$B$5:$B$304,A5,Payments!$A$5:$A$304,"&gt;="&amp;DATE(Setup!$B$4,12,1),Payments!$A$5:$A$304,"&lt;="&amp;EOMONTH(DATE(Setup!$B$4,12,1),0)))</f>
        <v>0</v>
      </c>
      <c r="AN5" s="25">
        <f t="shared" ref="AN5:AN44" si="2">IF(B5="","",AL5-AM5)</f>
        <v>0</v>
      </c>
    </row>
    <row r="6" spans="1:40" x14ac:dyDescent="0.3">
      <c r="A6" s="14" t="str">
        <f>IF(INDEX(Workers!$B:$B,ROW())="","",INDEX(Workers!$B:$B,ROW()))</f>
        <v/>
      </c>
      <c r="B6" s="21" t="str">
        <f>IF(INDEX(Workers!$C:$C,ROW())="","",INDEX(Workers!$C:$C,ROW()))</f>
        <v/>
      </c>
      <c r="C6" s="21" t="str">
        <f>IF(INDEX(Workers!$D:$D,ROW())="","",INDEX(Workers!$D:$D,ROW()))</f>
        <v/>
      </c>
      <c r="D6" s="22" t="str">
        <f>IF(INDEX(Workers!$E:$E,ROW())="","",INDEX(Workers!$E:$E,ROW()))</f>
        <v/>
      </c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4" t="str">
        <f t="shared" si="0"/>
        <v/>
      </c>
      <c r="AK6" s="24" t="str">
        <f t="shared" si="1"/>
        <v/>
      </c>
      <c r="AL6" s="25" t="str">
        <f>IF(B6="","",AJ6*N(D6)+AK6*N(D6)/Setup!$B$6*Setup!$B$7)</f>
        <v/>
      </c>
      <c r="AM6" s="25" t="str">
        <f>IF(B6="","",SUMIFS(Payments!$D$5:$D$304,Payments!$B$5:$B$304,A6,Payments!$A$5:$A$304,"&gt;="&amp;DATE(Setup!$B$4,12,1),Payments!$A$5:$A$304,"&lt;="&amp;EOMONTH(DATE(Setup!$B$4,12,1),0)))</f>
        <v/>
      </c>
      <c r="AN6" s="25" t="str">
        <f t="shared" si="2"/>
        <v/>
      </c>
    </row>
    <row r="7" spans="1:40" x14ac:dyDescent="0.3">
      <c r="A7" s="14" t="str">
        <f>IF(INDEX(Workers!$B:$B,ROW())="","",INDEX(Workers!$B:$B,ROW()))</f>
        <v/>
      </c>
      <c r="B7" s="21" t="str">
        <f>IF(INDEX(Workers!$C:$C,ROW())="","",INDEX(Workers!$C:$C,ROW()))</f>
        <v/>
      </c>
      <c r="C7" s="21" t="str">
        <f>IF(INDEX(Workers!$D:$D,ROW())="","",INDEX(Workers!$D:$D,ROW()))</f>
        <v/>
      </c>
      <c r="D7" s="22" t="str">
        <f>IF(INDEX(Workers!$E:$E,ROW())="","",INDEX(Workers!$E:$E,ROW()))</f>
        <v/>
      </c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4" t="str">
        <f t="shared" si="0"/>
        <v/>
      </c>
      <c r="AK7" s="24" t="str">
        <f t="shared" si="1"/>
        <v/>
      </c>
      <c r="AL7" s="25" t="str">
        <f>IF(B7="","",AJ7*N(D7)+AK7*N(D7)/Setup!$B$6*Setup!$B$7)</f>
        <v/>
      </c>
      <c r="AM7" s="25" t="str">
        <f>IF(B7="","",SUMIFS(Payments!$D$5:$D$304,Payments!$B$5:$B$304,A7,Payments!$A$5:$A$304,"&gt;="&amp;DATE(Setup!$B$4,12,1),Payments!$A$5:$A$304,"&lt;="&amp;EOMONTH(DATE(Setup!$B$4,12,1),0)))</f>
        <v/>
      </c>
      <c r="AN7" s="25" t="str">
        <f t="shared" si="2"/>
        <v/>
      </c>
    </row>
    <row r="8" spans="1:40" x14ac:dyDescent="0.3">
      <c r="A8" s="14" t="str">
        <f>IF(INDEX(Workers!$B:$B,ROW())="","",INDEX(Workers!$B:$B,ROW()))</f>
        <v/>
      </c>
      <c r="B8" s="21" t="str">
        <f>IF(INDEX(Workers!$C:$C,ROW())="","",INDEX(Workers!$C:$C,ROW()))</f>
        <v/>
      </c>
      <c r="C8" s="21" t="str">
        <f>IF(INDEX(Workers!$D:$D,ROW())="","",INDEX(Workers!$D:$D,ROW()))</f>
        <v/>
      </c>
      <c r="D8" s="22" t="str">
        <f>IF(INDEX(Workers!$E:$E,ROW())="","",INDEX(Workers!$E:$E,ROW()))</f>
        <v/>
      </c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4" t="str">
        <f t="shared" si="0"/>
        <v/>
      </c>
      <c r="AK8" s="24" t="str">
        <f t="shared" si="1"/>
        <v/>
      </c>
      <c r="AL8" s="25" t="str">
        <f>IF(B8="","",AJ8*N(D8)+AK8*N(D8)/Setup!$B$6*Setup!$B$7)</f>
        <v/>
      </c>
      <c r="AM8" s="25" t="str">
        <f>IF(B8="","",SUMIFS(Payments!$D$5:$D$304,Payments!$B$5:$B$304,A8,Payments!$A$5:$A$304,"&gt;="&amp;DATE(Setup!$B$4,12,1),Payments!$A$5:$A$304,"&lt;="&amp;EOMONTH(DATE(Setup!$B$4,12,1),0)))</f>
        <v/>
      </c>
      <c r="AN8" s="25" t="str">
        <f t="shared" si="2"/>
        <v/>
      </c>
    </row>
    <row r="9" spans="1:40" x14ac:dyDescent="0.3">
      <c r="A9" s="14" t="str">
        <f>IF(INDEX(Workers!$B:$B,ROW())="","",INDEX(Workers!$B:$B,ROW()))</f>
        <v/>
      </c>
      <c r="B9" s="21" t="str">
        <f>IF(INDEX(Workers!$C:$C,ROW())="","",INDEX(Workers!$C:$C,ROW()))</f>
        <v/>
      </c>
      <c r="C9" s="21" t="str">
        <f>IF(INDEX(Workers!$D:$D,ROW())="","",INDEX(Workers!$D:$D,ROW()))</f>
        <v/>
      </c>
      <c r="D9" s="22" t="str">
        <f>IF(INDEX(Workers!$E:$E,ROW())="","",INDEX(Workers!$E:$E,ROW()))</f>
        <v/>
      </c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4" t="str">
        <f t="shared" si="0"/>
        <v/>
      </c>
      <c r="AK9" s="24" t="str">
        <f t="shared" si="1"/>
        <v/>
      </c>
      <c r="AL9" s="25" t="str">
        <f>IF(B9="","",AJ9*N(D9)+AK9*N(D9)/Setup!$B$6*Setup!$B$7)</f>
        <v/>
      </c>
      <c r="AM9" s="25" t="str">
        <f>IF(B9="","",SUMIFS(Payments!$D$5:$D$304,Payments!$B$5:$B$304,A9,Payments!$A$5:$A$304,"&gt;="&amp;DATE(Setup!$B$4,12,1),Payments!$A$5:$A$304,"&lt;="&amp;EOMONTH(DATE(Setup!$B$4,12,1),0)))</f>
        <v/>
      </c>
      <c r="AN9" s="25" t="str">
        <f t="shared" si="2"/>
        <v/>
      </c>
    </row>
    <row r="10" spans="1:40" x14ac:dyDescent="0.3">
      <c r="A10" s="14" t="str">
        <f>IF(INDEX(Workers!$B:$B,ROW())="","",INDEX(Workers!$B:$B,ROW()))</f>
        <v/>
      </c>
      <c r="B10" s="21" t="str">
        <f>IF(INDEX(Workers!$C:$C,ROW())="","",INDEX(Workers!$C:$C,ROW()))</f>
        <v/>
      </c>
      <c r="C10" s="21" t="str">
        <f>IF(INDEX(Workers!$D:$D,ROW())="","",INDEX(Workers!$D:$D,ROW()))</f>
        <v/>
      </c>
      <c r="D10" s="22" t="str">
        <f>IF(INDEX(Workers!$E:$E,ROW())="","",INDEX(Workers!$E:$E,ROW()))</f>
        <v/>
      </c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4" t="str">
        <f t="shared" si="0"/>
        <v/>
      </c>
      <c r="AK10" s="24" t="str">
        <f t="shared" si="1"/>
        <v/>
      </c>
      <c r="AL10" s="25" t="str">
        <f>IF(B10="","",AJ10*N(D10)+AK10*N(D10)/Setup!$B$6*Setup!$B$7)</f>
        <v/>
      </c>
      <c r="AM10" s="25" t="str">
        <f>IF(B10="","",SUMIFS(Payments!$D$5:$D$304,Payments!$B$5:$B$304,A10,Payments!$A$5:$A$304,"&gt;="&amp;DATE(Setup!$B$4,12,1),Payments!$A$5:$A$304,"&lt;="&amp;EOMONTH(DATE(Setup!$B$4,12,1),0)))</f>
        <v/>
      </c>
      <c r="AN10" s="25" t="str">
        <f t="shared" si="2"/>
        <v/>
      </c>
    </row>
    <row r="11" spans="1:40" x14ac:dyDescent="0.3">
      <c r="A11" s="14" t="str">
        <f>IF(INDEX(Workers!$B:$B,ROW())="","",INDEX(Workers!$B:$B,ROW()))</f>
        <v/>
      </c>
      <c r="B11" s="21" t="str">
        <f>IF(INDEX(Workers!$C:$C,ROW())="","",INDEX(Workers!$C:$C,ROW()))</f>
        <v/>
      </c>
      <c r="C11" s="21" t="str">
        <f>IF(INDEX(Workers!$D:$D,ROW())="","",INDEX(Workers!$D:$D,ROW()))</f>
        <v/>
      </c>
      <c r="D11" s="22" t="str">
        <f>IF(INDEX(Workers!$E:$E,ROW())="","",INDEX(Workers!$E:$E,ROW()))</f>
        <v/>
      </c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4" t="str">
        <f t="shared" si="0"/>
        <v/>
      </c>
      <c r="AK11" s="24" t="str">
        <f t="shared" si="1"/>
        <v/>
      </c>
      <c r="AL11" s="25" t="str">
        <f>IF(B11="","",AJ11*N(D11)+AK11*N(D11)/Setup!$B$6*Setup!$B$7)</f>
        <v/>
      </c>
      <c r="AM11" s="25" t="str">
        <f>IF(B11="","",SUMIFS(Payments!$D$5:$D$304,Payments!$B$5:$B$304,A11,Payments!$A$5:$A$304,"&gt;="&amp;DATE(Setup!$B$4,12,1),Payments!$A$5:$A$304,"&lt;="&amp;EOMONTH(DATE(Setup!$B$4,12,1),0)))</f>
        <v/>
      </c>
      <c r="AN11" s="25" t="str">
        <f t="shared" si="2"/>
        <v/>
      </c>
    </row>
    <row r="12" spans="1:40" x14ac:dyDescent="0.3">
      <c r="A12" s="14" t="str">
        <f>IF(INDEX(Workers!$B:$B,ROW())="","",INDEX(Workers!$B:$B,ROW()))</f>
        <v/>
      </c>
      <c r="B12" s="21" t="str">
        <f>IF(INDEX(Workers!$C:$C,ROW())="","",INDEX(Workers!$C:$C,ROW()))</f>
        <v/>
      </c>
      <c r="C12" s="21" t="str">
        <f>IF(INDEX(Workers!$D:$D,ROW())="","",INDEX(Workers!$D:$D,ROW()))</f>
        <v/>
      </c>
      <c r="D12" s="22" t="str">
        <f>IF(INDEX(Workers!$E:$E,ROW())="","",INDEX(Workers!$E:$E,ROW()))</f>
        <v/>
      </c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4" t="str">
        <f t="shared" si="0"/>
        <v/>
      </c>
      <c r="AK12" s="24" t="str">
        <f t="shared" si="1"/>
        <v/>
      </c>
      <c r="AL12" s="25" t="str">
        <f>IF(B12="","",AJ12*N(D12)+AK12*N(D12)/Setup!$B$6*Setup!$B$7)</f>
        <v/>
      </c>
      <c r="AM12" s="25" t="str">
        <f>IF(B12="","",SUMIFS(Payments!$D$5:$D$304,Payments!$B$5:$B$304,A12,Payments!$A$5:$A$304,"&gt;="&amp;DATE(Setup!$B$4,12,1),Payments!$A$5:$A$304,"&lt;="&amp;EOMONTH(DATE(Setup!$B$4,12,1),0)))</f>
        <v/>
      </c>
      <c r="AN12" s="25" t="str">
        <f t="shared" si="2"/>
        <v/>
      </c>
    </row>
    <row r="13" spans="1:40" x14ac:dyDescent="0.3">
      <c r="A13" s="14" t="str">
        <f>IF(INDEX(Workers!$B:$B,ROW())="","",INDEX(Workers!$B:$B,ROW()))</f>
        <v/>
      </c>
      <c r="B13" s="21" t="str">
        <f>IF(INDEX(Workers!$C:$C,ROW())="","",INDEX(Workers!$C:$C,ROW()))</f>
        <v/>
      </c>
      <c r="C13" s="21" t="str">
        <f>IF(INDEX(Workers!$D:$D,ROW())="","",INDEX(Workers!$D:$D,ROW()))</f>
        <v/>
      </c>
      <c r="D13" s="22" t="str">
        <f>IF(INDEX(Workers!$E:$E,ROW())="","",INDEX(Workers!$E:$E,ROW()))</f>
        <v/>
      </c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4" t="str">
        <f t="shared" si="0"/>
        <v/>
      </c>
      <c r="AK13" s="24" t="str">
        <f t="shared" si="1"/>
        <v/>
      </c>
      <c r="AL13" s="25" t="str">
        <f>IF(B13="","",AJ13*N(D13)+AK13*N(D13)/Setup!$B$6*Setup!$B$7)</f>
        <v/>
      </c>
      <c r="AM13" s="25" t="str">
        <f>IF(B13="","",SUMIFS(Payments!$D$5:$D$304,Payments!$B$5:$B$304,A13,Payments!$A$5:$A$304,"&gt;="&amp;DATE(Setup!$B$4,12,1),Payments!$A$5:$A$304,"&lt;="&amp;EOMONTH(DATE(Setup!$B$4,12,1),0)))</f>
        <v/>
      </c>
      <c r="AN13" s="25" t="str">
        <f t="shared" si="2"/>
        <v/>
      </c>
    </row>
    <row r="14" spans="1:40" x14ac:dyDescent="0.3">
      <c r="A14" s="14" t="str">
        <f>IF(INDEX(Workers!$B:$B,ROW())="","",INDEX(Workers!$B:$B,ROW()))</f>
        <v/>
      </c>
      <c r="B14" s="21" t="str">
        <f>IF(INDEX(Workers!$C:$C,ROW())="","",INDEX(Workers!$C:$C,ROW()))</f>
        <v/>
      </c>
      <c r="C14" s="21" t="str">
        <f>IF(INDEX(Workers!$D:$D,ROW())="","",INDEX(Workers!$D:$D,ROW()))</f>
        <v/>
      </c>
      <c r="D14" s="22" t="str">
        <f>IF(INDEX(Workers!$E:$E,ROW())="","",INDEX(Workers!$E:$E,ROW()))</f>
        <v/>
      </c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4" t="str">
        <f t="shared" si="0"/>
        <v/>
      </c>
      <c r="AK14" s="24" t="str">
        <f t="shared" si="1"/>
        <v/>
      </c>
      <c r="AL14" s="25" t="str">
        <f>IF(B14="","",AJ14*N(D14)+AK14*N(D14)/Setup!$B$6*Setup!$B$7)</f>
        <v/>
      </c>
      <c r="AM14" s="25" t="str">
        <f>IF(B14="","",SUMIFS(Payments!$D$5:$D$304,Payments!$B$5:$B$304,A14,Payments!$A$5:$A$304,"&gt;="&amp;DATE(Setup!$B$4,12,1),Payments!$A$5:$A$304,"&lt;="&amp;EOMONTH(DATE(Setup!$B$4,12,1),0)))</f>
        <v/>
      </c>
      <c r="AN14" s="25" t="str">
        <f t="shared" si="2"/>
        <v/>
      </c>
    </row>
    <row r="15" spans="1:40" x14ac:dyDescent="0.3">
      <c r="A15" s="14" t="str">
        <f>IF(INDEX(Workers!$B:$B,ROW())="","",INDEX(Workers!$B:$B,ROW()))</f>
        <v/>
      </c>
      <c r="B15" s="21" t="str">
        <f>IF(INDEX(Workers!$C:$C,ROW())="","",INDEX(Workers!$C:$C,ROW()))</f>
        <v/>
      </c>
      <c r="C15" s="21" t="str">
        <f>IF(INDEX(Workers!$D:$D,ROW())="","",INDEX(Workers!$D:$D,ROW()))</f>
        <v/>
      </c>
      <c r="D15" s="22" t="str">
        <f>IF(INDEX(Workers!$E:$E,ROW())="","",INDEX(Workers!$E:$E,ROW()))</f>
        <v/>
      </c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4" t="str">
        <f t="shared" si="0"/>
        <v/>
      </c>
      <c r="AK15" s="24" t="str">
        <f t="shared" si="1"/>
        <v/>
      </c>
      <c r="AL15" s="25" t="str">
        <f>IF(B15="","",AJ15*N(D15)+AK15*N(D15)/Setup!$B$6*Setup!$B$7)</f>
        <v/>
      </c>
      <c r="AM15" s="25" t="str">
        <f>IF(B15="","",SUMIFS(Payments!$D$5:$D$304,Payments!$B$5:$B$304,A15,Payments!$A$5:$A$304,"&gt;="&amp;DATE(Setup!$B$4,12,1),Payments!$A$5:$A$304,"&lt;="&amp;EOMONTH(DATE(Setup!$B$4,12,1),0)))</f>
        <v/>
      </c>
      <c r="AN15" s="25" t="str">
        <f t="shared" si="2"/>
        <v/>
      </c>
    </row>
    <row r="16" spans="1:40" x14ac:dyDescent="0.3">
      <c r="A16" s="14" t="str">
        <f>IF(INDEX(Workers!$B:$B,ROW())="","",INDEX(Workers!$B:$B,ROW()))</f>
        <v/>
      </c>
      <c r="B16" s="21" t="str">
        <f>IF(INDEX(Workers!$C:$C,ROW())="","",INDEX(Workers!$C:$C,ROW()))</f>
        <v/>
      </c>
      <c r="C16" s="21" t="str">
        <f>IF(INDEX(Workers!$D:$D,ROW())="","",INDEX(Workers!$D:$D,ROW()))</f>
        <v/>
      </c>
      <c r="D16" s="22" t="str">
        <f>IF(INDEX(Workers!$E:$E,ROW())="","",INDEX(Workers!$E:$E,ROW()))</f>
        <v/>
      </c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4" t="str">
        <f t="shared" si="0"/>
        <v/>
      </c>
      <c r="AK16" s="24" t="str">
        <f t="shared" si="1"/>
        <v/>
      </c>
      <c r="AL16" s="25" t="str">
        <f>IF(B16="","",AJ16*N(D16)+AK16*N(D16)/Setup!$B$6*Setup!$B$7)</f>
        <v/>
      </c>
      <c r="AM16" s="25" t="str">
        <f>IF(B16="","",SUMIFS(Payments!$D$5:$D$304,Payments!$B$5:$B$304,A16,Payments!$A$5:$A$304,"&gt;="&amp;DATE(Setup!$B$4,12,1),Payments!$A$5:$A$304,"&lt;="&amp;EOMONTH(DATE(Setup!$B$4,12,1),0)))</f>
        <v/>
      </c>
      <c r="AN16" s="25" t="str">
        <f t="shared" si="2"/>
        <v/>
      </c>
    </row>
    <row r="17" spans="1:40" x14ac:dyDescent="0.3">
      <c r="A17" s="14" t="str">
        <f>IF(INDEX(Workers!$B:$B,ROW())="","",INDEX(Workers!$B:$B,ROW()))</f>
        <v/>
      </c>
      <c r="B17" s="21" t="str">
        <f>IF(INDEX(Workers!$C:$C,ROW())="","",INDEX(Workers!$C:$C,ROW()))</f>
        <v/>
      </c>
      <c r="C17" s="21" t="str">
        <f>IF(INDEX(Workers!$D:$D,ROW())="","",INDEX(Workers!$D:$D,ROW()))</f>
        <v/>
      </c>
      <c r="D17" s="22" t="str">
        <f>IF(INDEX(Workers!$E:$E,ROW())="","",INDEX(Workers!$E:$E,ROW()))</f>
        <v/>
      </c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4" t="str">
        <f t="shared" si="0"/>
        <v/>
      </c>
      <c r="AK17" s="24" t="str">
        <f t="shared" si="1"/>
        <v/>
      </c>
      <c r="AL17" s="25" t="str">
        <f>IF(B17="","",AJ17*N(D17)+AK17*N(D17)/Setup!$B$6*Setup!$B$7)</f>
        <v/>
      </c>
      <c r="AM17" s="25" t="str">
        <f>IF(B17="","",SUMIFS(Payments!$D$5:$D$304,Payments!$B$5:$B$304,A17,Payments!$A$5:$A$304,"&gt;="&amp;DATE(Setup!$B$4,12,1),Payments!$A$5:$A$304,"&lt;="&amp;EOMONTH(DATE(Setup!$B$4,12,1),0)))</f>
        <v/>
      </c>
      <c r="AN17" s="25" t="str">
        <f t="shared" si="2"/>
        <v/>
      </c>
    </row>
    <row r="18" spans="1:40" x14ac:dyDescent="0.3">
      <c r="A18" s="14" t="str">
        <f>IF(INDEX(Workers!$B:$B,ROW())="","",INDEX(Workers!$B:$B,ROW()))</f>
        <v/>
      </c>
      <c r="B18" s="21" t="str">
        <f>IF(INDEX(Workers!$C:$C,ROW())="","",INDEX(Workers!$C:$C,ROW()))</f>
        <v/>
      </c>
      <c r="C18" s="21" t="str">
        <f>IF(INDEX(Workers!$D:$D,ROW())="","",INDEX(Workers!$D:$D,ROW()))</f>
        <v/>
      </c>
      <c r="D18" s="22" t="str">
        <f>IF(INDEX(Workers!$E:$E,ROW())="","",INDEX(Workers!$E:$E,ROW()))</f>
        <v/>
      </c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4" t="str">
        <f t="shared" si="0"/>
        <v/>
      </c>
      <c r="AK18" s="24" t="str">
        <f t="shared" si="1"/>
        <v/>
      </c>
      <c r="AL18" s="25" t="str">
        <f>IF(B18="","",AJ18*N(D18)+AK18*N(D18)/Setup!$B$6*Setup!$B$7)</f>
        <v/>
      </c>
      <c r="AM18" s="25" t="str">
        <f>IF(B18="","",SUMIFS(Payments!$D$5:$D$304,Payments!$B$5:$B$304,A18,Payments!$A$5:$A$304,"&gt;="&amp;DATE(Setup!$B$4,12,1),Payments!$A$5:$A$304,"&lt;="&amp;EOMONTH(DATE(Setup!$B$4,12,1),0)))</f>
        <v/>
      </c>
      <c r="AN18" s="25" t="str">
        <f t="shared" si="2"/>
        <v/>
      </c>
    </row>
    <row r="19" spans="1:40" x14ac:dyDescent="0.3">
      <c r="A19" s="14" t="str">
        <f>IF(INDEX(Workers!$B:$B,ROW())="","",INDEX(Workers!$B:$B,ROW()))</f>
        <v/>
      </c>
      <c r="B19" s="21" t="str">
        <f>IF(INDEX(Workers!$C:$C,ROW())="","",INDEX(Workers!$C:$C,ROW()))</f>
        <v/>
      </c>
      <c r="C19" s="21" t="str">
        <f>IF(INDEX(Workers!$D:$D,ROW())="","",INDEX(Workers!$D:$D,ROW()))</f>
        <v/>
      </c>
      <c r="D19" s="22" t="str">
        <f>IF(INDEX(Workers!$E:$E,ROW())="","",INDEX(Workers!$E:$E,ROW()))</f>
        <v/>
      </c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4" t="str">
        <f t="shared" si="0"/>
        <v/>
      </c>
      <c r="AK19" s="24" t="str">
        <f t="shared" si="1"/>
        <v/>
      </c>
      <c r="AL19" s="25" t="str">
        <f>IF(B19="","",AJ19*N(D19)+AK19*N(D19)/Setup!$B$6*Setup!$B$7)</f>
        <v/>
      </c>
      <c r="AM19" s="25" t="str">
        <f>IF(B19="","",SUMIFS(Payments!$D$5:$D$304,Payments!$B$5:$B$304,A19,Payments!$A$5:$A$304,"&gt;="&amp;DATE(Setup!$B$4,12,1),Payments!$A$5:$A$304,"&lt;="&amp;EOMONTH(DATE(Setup!$B$4,12,1),0)))</f>
        <v/>
      </c>
      <c r="AN19" s="25" t="str">
        <f t="shared" si="2"/>
        <v/>
      </c>
    </row>
    <row r="20" spans="1:40" x14ac:dyDescent="0.3">
      <c r="A20" s="14" t="str">
        <f>IF(INDEX(Workers!$B:$B,ROW())="","",INDEX(Workers!$B:$B,ROW()))</f>
        <v/>
      </c>
      <c r="B20" s="21" t="str">
        <f>IF(INDEX(Workers!$C:$C,ROW())="","",INDEX(Workers!$C:$C,ROW()))</f>
        <v/>
      </c>
      <c r="C20" s="21" t="str">
        <f>IF(INDEX(Workers!$D:$D,ROW())="","",INDEX(Workers!$D:$D,ROW()))</f>
        <v/>
      </c>
      <c r="D20" s="22" t="str">
        <f>IF(INDEX(Workers!$E:$E,ROW())="","",INDEX(Workers!$E:$E,ROW()))</f>
        <v/>
      </c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4" t="str">
        <f t="shared" si="0"/>
        <v/>
      </c>
      <c r="AK20" s="24" t="str">
        <f t="shared" si="1"/>
        <v/>
      </c>
      <c r="AL20" s="25" t="str">
        <f>IF(B20="","",AJ20*N(D20)+AK20*N(D20)/Setup!$B$6*Setup!$B$7)</f>
        <v/>
      </c>
      <c r="AM20" s="25" t="str">
        <f>IF(B20="","",SUMIFS(Payments!$D$5:$D$304,Payments!$B$5:$B$304,A20,Payments!$A$5:$A$304,"&gt;="&amp;DATE(Setup!$B$4,12,1),Payments!$A$5:$A$304,"&lt;="&amp;EOMONTH(DATE(Setup!$B$4,12,1),0)))</f>
        <v/>
      </c>
      <c r="AN20" s="25" t="str">
        <f t="shared" si="2"/>
        <v/>
      </c>
    </row>
    <row r="21" spans="1:40" x14ac:dyDescent="0.3">
      <c r="A21" s="14" t="str">
        <f>IF(INDEX(Workers!$B:$B,ROW())="","",INDEX(Workers!$B:$B,ROW()))</f>
        <v/>
      </c>
      <c r="B21" s="21" t="str">
        <f>IF(INDEX(Workers!$C:$C,ROW())="","",INDEX(Workers!$C:$C,ROW()))</f>
        <v/>
      </c>
      <c r="C21" s="21" t="str">
        <f>IF(INDEX(Workers!$D:$D,ROW())="","",INDEX(Workers!$D:$D,ROW()))</f>
        <v/>
      </c>
      <c r="D21" s="22" t="str">
        <f>IF(INDEX(Workers!$E:$E,ROW())="","",INDEX(Workers!$E:$E,ROW()))</f>
        <v/>
      </c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4" t="str">
        <f t="shared" si="0"/>
        <v/>
      </c>
      <c r="AK21" s="24" t="str">
        <f t="shared" si="1"/>
        <v/>
      </c>
      <c r="AL21" s="25" t="str">
        <f>IF(B21="","",AJ21*N(D21)+AK21*N(D21)/Setup!$B$6*Setup!$B$7)</f>
        <v/>
      </c>
      <c r="AM21" s="25" t="str">
        <f>IF(B21="","",SUMIFS(Payments!$D$5:$D$304,Payments!$B$5:$B$304,A21,Payments!$A$5:$A$304,"&gt;="&amp;DATE(Setup!$B$4,12,1),Payments!$A$5:$A$304,"&lt;="&amp;EOMONTH(DATE(Setup!$B$4,12,1),0)))</f>
        <v/>
      </c>
      <c r="AN21" s="25" t="str">
        <f t="shared" si="2"/>
        <v/>
      </c>
    </row>
    <row r="22" spans="1:40" x14ac:dyDescent="0.3">
      <c r="A22" s="14" t="str">
        <f>IF(INDEX(Workers!$B:$B,ROW())="","",INDEX(Workers!$B:$B,ROW()))</f>
        <v/>
      </c>
      <c r="B22" s="21" t="str">
        <f>IF(INDEX(Workers!$C:$C,ROW())="","",INDEX(Workers!$C:$C,ROW()))</f>
        <v/>
      </c>
      <c r="C22" s="21" t="str">
        <f>IF(INDEX(Workers!$D:$D,ROW())="","",INDEX(Workers!$D:$D,ROW()))</f>
        <v/>
      </c>
      <c r="D22" s="22" t="str">
        <f>IF(INDEX(Workers!$E:$E,ROW())="","",INDEX(Workers!$E:$E,ROW()))</f>
        <v/>
      </c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4" t="str">
        <f t="shared" si="0"/>
        <v/>
      </c>
      <c r="AK22" s="24" t="str">
        <f t="shared" si="1"/>
        <v/>
      </c>
      <c r="AL22" s="25" t="str">
        <f>IF(B22="","",AJ22*N(D22)+AK22*N(D22)/Setup!$B$6*Setup!$B$7)</f>
        <v/>
      </c>
      <c r="AM22" s="25" t="str">
        <f>IF(B22="","",SUMIFS(Payments!$D$5:$D$304,Payments!$B$5:$B$304,A22,Payments!$A$5:$A$304,"&gt;="&amp;DATE(Setup!$B$4,12,1),Payments!$A$5:$A$304,"&lt;="&amp;EOMONTH(DATE(Setup!$B$4,12,1),0)))</f>
        <v/>
      </c>
      <c r="AN22" s="25" t="str">
        <f t="shared" si="2"/>
        <v/>
      </c>
    </row>
    <row r="23" spans="1:40" x14ac:dyDescent="0.3">
      <c r="A23" s="14" t="str">
        <f>IF(INDEX(Workers!$B:$B,ROW())="","",INDEX(Workers!$B:$B,ROW()))</f>
        <v/>
      </c>
      <c r="B23" s="21" t="str">
        <f>IF(INDEX(Workers!$C:$C,ROW())="","",INDEX(Workers!$C:$C,ROW()))</f>
        <v/>
      </c>
      <c r="C23" s="21" t="str">
        <f>IF(INDEX(Workers!$D:$D,ROW())="","",INDEX(Workers!$D:$D,ROW()))</f>
        <v/>
      </c>
      <c r="D23" s="22" t="str">
        <f>IF(INDEX(Workers!$E:$E,ROW())="","",INDEX(Workers!$E:$E,ROW()))</f>
        <v/>
      </c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4" t="str">
        <f t="shared" si="0"/>
        <v/>
      </c>
      <c r="AK23" s="24" t="str">
        <f t="shared" si="1"/>
        <v/>
      </c>
      <c r="AL23" s="25" t="str">
        <f>IF(B23="","",AJ23*N(D23)+AK23*N(D23)/Setup!$B$6*Setup!$B$7)</f>
        <v/>
      </c>
      <c r="AM23" s="25" t="str">
        <f>IF(B23="","",SUMIFS(Payments!$D$5:$D$304,Payments!$B$5:$B$304,A23,Payments!$A$5:$A$304,"&gt;="&amp;DATE(Setup!$B$4,12,1),Payments!$A$5:$A$304,"&lt;="&amp;EOMONTH(DATE(Setup!$B$4,12,1),0)))</f>
        <v/>
      </c>
      <c r="AN23" s="25" t="str">
        <f t="shared" si="2"/>
        <v/>
      </c>
    </row>
    <row r="24" spans="1:40" x14ac:dyDescent="0.3">
      <c r="A24" s="14" t="str">
        <f>IF(INDEX(Workers!$B:$B,ROW())="","",INDEX(Workers!$B:$B,ROW()))</f>
        <v/>
      </c>
      <c r="B24" s="21" t="str">
        <f>IF(INDEX(Workers!$C:$C,ROW())="","",INDEX(Workers!$C:$C,ROW()))</f>
        <v/>
      </c>
      <c r="C24" s="21" t="str">
        <f>IF(INDEX(Workers!$D:$D,ROW())="","",INDEX(Workers!$D:$D,ROW()))</f>
        <v/>
      </c>
      <c r="D24" s="22" t="str">
        <f>IF(INDEX(Workers!$E:$E,ROW())="","",INDEX(Workers!$E:$E,ROW()))</f>
        <v/>
      </c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4" t="str">
        <f t="shared" si="0"/>
        <v/>
      </c>
      <c r="AK24" s="24" t="str">
        <f t="shared" si="1"/>
        <v/>
      </c>
      <c r="AL24" s="25" t="str">
        <f>IF(B24="","",AJ24*N(D24)+AK24*N(D24)/Setup!$B$6*Setup!$B$7)</f>
        <v/>
      </c>
      <c r="AM24" s="25" t="str">
        <f>IF(B24="","",SUMIFS(Payments!$D$5:$D$304,Payments!$B$5:$B$304,A24,Payments!$A$5:$A$304,"&gt;="&amp;DATE(Setup!$B$4,12,1),Payments!$A$5:$A$304,"&lt;="&amp;EOMONTH(DATE(Setup!$B$4,12,1),0)))</f>
        <v/>
      </c>
      <c r="AN24" s="25" t="str">
        <f t="shared" si="2"/>
        <v/>
      </c>
    </row>
    <row r="25" spans="1:40" x14ac:dyDescent="0.3">
      <c r="A25" s="14" t="str">
        <f>IF(INDEX(Workers!$B:$B,ROW())="","",INDEX(Workers!$B:$B,ROW()))</f>
        <v/>
      </c>
      <c r="B25" s="21" t="str">
        <f>IF(INDEX(Workers!$C:$C,ROW())="","",INDEX(Workers!$C:$C,ROW()))</f>
        <v/>
      </c>
      <c r="C25" s="21" t="str">
        <f>IF(INDEX(Workers!$D:$D,ROW())="","",INDEX(Workers!$D:$D,ROW()))</f>
        <v/>
      </c>
      <c r="D25" s="22" t="str">
        <f>IF(INDEX(Workers!$E:$E,ROW())="","",INDEX(Workers!$E:$E,ROW()))</f>
        <v/>
      </c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4" t="str">
        <f t="shared" si="0"/>
        <v/>
      </c>
      <c r="AK25" s="24" t="str">
        <f t="shared" si="1"/>
        <v/>
      </c>
      <c r="AL25" s="25" t="str">
        <f>IF(B25="","",AJ25*N(D25)+AK25*N(D25)/Setup!$B$6*Setup!$B$7)</f>
        <v/>
      </c>
      <c r="AM25" s="25" t="str">
        <f>IF(B25="","",SUMIFS(Payments!$D$5:$D$304,Payments!$B$5:$B$304,A25,Payments!$A$5:$A$304,"&gt;="&amp;DATE(Setup!$B$4,12,1),Payments!$A$5:$A$304,"&lt;="&amp;EOMONTH(DATE(Setup!$B$4,12,1),0)))</f>
        <v/>
      </c>
      <c r="AN25" s="25" t="str">
        <f t="shared" si="2"/>
        <v/>
      </c>
    </row>
    <row r="26" spans="1:40" x14ac:dyDescent="0.3">
      <c r="A26" s="14" t="str">
        <f>IF(INDEX(Workers!$B:$B,ROW())="","",INDEX(Workers!$B:$B,ROW()))</f>
        <v/>
      </c>
      <c r="B26" s="21" t="str">
        <f>IF(INDEX(Workers!$C:$C,ROW())="","",INDEX(Workers!$C:$C,ROW()))</f>
        <v/>
      </c>
      <c r="C26" s="21" t="str">
        <f>IF(INDEX(Workers!$D:$D,ROW())="","",INDEX(Workers!$D:$D,ROW()))</f>
        <v/>
      </c>
      <c r="D26" s="22" t="str">
        <f>IF(INDEX(Workers!$E:$E,ROW())="","",INDEX(Workers!$E:$E,ROW()))</f>
        <v/>
      </c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4" t="str">
        <f t="shared" si="0"/>
        <v/>
      </c>
      <c r="AK26" s="24" t="str">
        <f t="shared" si="1"/>
        <v/>
      </c>
      <c r="AL26" s="25" t="str">
        <f>IF(B26="","",AJ26*N(D26)+AK26*N(D26)/Setup!$B$6*Setup!$B$7)</f>
        <v/>
      </c>
      <c r="AM26" s="25" t="str">
        <f>IF(B26="","",SUMIFS(Payments!$D$5:$D$304,Payments!$B$5:$B$304,A26,Payments!$A$5:$A$304,"&gt;="&amp;DATE(Setup!$B$4,12,1),Payments!$A$5:$A$304,"&lt;="&amp;EOMONTH(DATE(Setup!$B$4,12,1),0)))</f>
        <v/>
      </c>
      <c r="AN26" s="25" t="str">
        <f t="shared" si="2"/>
        <v/>
      </c>
    </row>
    <row r="27" spans="1:40" x14ac:dyDescent="0.3">
      <c r="A27" s="14" t="str">
        <f>IF(INDEX(Workers!$B:$B,ROW())="","",INDEX(Workers!$B:$B,ROW()))</f>
        <v/>
      </c>
      <c r="B27" s="21" t="str">
        <f>IF(INDEX(Workers!$C:$C,ROW())="","",INDEX(Workers!$C:$C,ROW()))</f>
        <v/>
      </c>
      <c r="C27" s="21" t="str">
        <f>IF(INDEX(Workers!$D:$D,ROW())="","",INDEX(Workers!$D:$D,ROW()))</f>
        <v/>
      </c>
      <c r="D27" s="22" t="str">
        <f>IF(INDEX(Workers!$E:$E,ROW())="","",INDEX(Workers!$E:$E,ROW()))</f>
        <v/>
      </c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4" t="str">
        <f t="shared" si="0"/>
        <v/>
      </c>
      <c r="AK27" s="24" t="str">
        <f t="shared" si="1"/>
        <v/>
      </c>
      <c r="AL27" s="25" t="str">
        <f>IF(B27="","",AJ27*N(D27)+AK27*N(D27)/Setup!$B$6*Setup!$B$7)</f>
        <v/>
      </c>
      <c r="AM27" s="25" t="str">
        <f>IF(B27="","",SUMIFS(Payments!$D$5:$D$304,Payments!$B$5:$B$304,A27,Payments!$A$5:$A$304,"&gt;="&amp;DATE(Setup!$B$4,12,1),Payments!$A$5:$A$304,"&lt;="&amp;EOMONTH(DATE(Setup!$B$4,12,1),0)))</f>
        <v/>
      </c>
      <c r="AN27" s="25" t="str">
        <f t="shared" si="2"/>
        <v/>
      </c>
    </row>
    <row r="28" spans="1:40" x14ac:dyDescent="0.3">
      <c r="A28" s="14" t="str">
        <f>IF(INDEX(Workers!$B:$B,ROW())="","",INDEX(Workers!$B:$B,ROW()))</f>
        <v/>
      </c>
      <c r="B28" s="21" t="str">
        <f>IF(INDEX(Workers!$C:$C,ROW())="","",INDEX(Workers!$C:$C,ROW()))</f>
        <v/>
      </c>
      <c r="C28" s="21" t="str">
        <f>IF(INDEX(Workers!$D:$D,ROW())="","",INDEX(Workers!$D:$D,ROW()))</f>
        <v/>
      </c>
      <c r="D28" s="22" t="str">
        <f>IF(INDEX(Workers!$E:$E,ROW())="","",INDEX(Workers!$E:$E,ROW()))</f>
        <v/>
      </c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4" t="str">
        <f t="shared" si="0"/>
        <v/>
      </c>
      <c r="AK28" s="24" t="str">
        <f t="shared" si="1"/>
        <v/>
      </c>
      <c r="AL28" s="25" t="str">
        <f>IF(B28="","",AJ28*N(D28)+AK28*N(D28)/Setup!$B$6*Setup!$B$7)</f>
        <v/>
      </c>
      <c r="AM28" s="25" t="str">
        <f>IF(B28="","",SUMIFS(Payments!$D$5:$D$304,Payments!$B$5:$B$304,A28,Payments!$A$5:$A$304,"&gt;="&amp;DATE(Setup!$B$4,12,1),Payments!$A$5:$A$304,"&lt;="&amp;EOMONTH(DATE(Setup!$B$4,12,1),0)))</f>
        <v/>
      </c>
      <c r="AN28" s="25" t="str">
        <f t="shared" si="2"/>
        <v/>
      </c>
    </row>
    <row r="29" spans="1:40" x14ac:dyDescent="0.3">
      <c r="A29" s="14" t="str">
        <f>IF(INDEX(Workers!$B:$B,ROW())="","",INDEX(Workers!$B:$B,ROW()))</f>
        <v/>
      </c>
      <c r="B29" s="21" t="str">
        <f>IF(INDEX(Workers!$C:$C,ROW())="","",INDEX(Workers!$C:$C,ROW()))</f>
        <v/>
      </c>
      <c r="C29" s="21" t="str">
        <f>IF(INDEX(Workers!$D:$D,ROW())="","",INDEX(Workers!$D:$D,ROW()))</f>
        <v/>
      </c>
      <c r="D29" s="22" t="str">
        <f>IF(INDEX(Workers!$E:$E,ROW())="","",INDEX(Workers!$E:$E,ROW()))</f>
        <v/>
      </c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4" t="str">
        <f t="shared" si="0"/>
        <v/>
      </c>
      <c r="AK29" s="24" t="str">
        <f t="shared" si="1"/>
        <v/>
      </c>
      <c r="AL29" s="25" t="str">
        <f>IF(B29="","",AJ29*N(D29)+AK29*N(D29)/Setup!$B$6*Setup!$B$7)</f>
        <v/>
      </c>
      <c r="AM29" s="25" t="str">
        <f>IF(B29="","",SUMIFS(Payments!$D$5:$D$304,Payments!$B$5:$B$304,A29,Payments!$A$5:$A$304,"&gt;="&amp;DATE(Setup!$B$4,12,1),Payments!$A$5:$A$304,"&lt;="&amp;EOMONTH(DATE(Setup!$B$4,12,1),0)))</f>
        <v/>
      </c>
      <c r="AN29" s="25" t="str">
        <f t="shared" si="2"/>
        <v/>
      </c>
    </row>
    <row r="30" spans="1:40" x14ac:dyDescent="0.3">
      <c r="A30" s="14" t="str">
        <f>IF(INDEX(Workers!$B:$B,ROW())="","",INDEX(Workers!$B:$B,ROW()))</f>
        <v/>
      </c>
      <c r="B30" s="21" t="str">
        <f>IF(INDEX(Workers!$C:$C,ROW())="","",INDEX(Workers!$C:$C,ROW()))</f>
        <v/>
      </c>
      <c r="C30" s="21" t="str">
        <f>IF(INDEX(Workers!$D:$D,ROW())="","",INDEX(Workers!$D:$D,ROW()))</f>
        <v/>
      </c>
      <c r="D30" s="22" t="str">
        <f>IF(INDEX(Workers!$E:$E,ROW())="","",INDEX(Workers!$E:$E,ROW()))</f>
        <v/>
      </c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4" t="str">
        <f t="shared" si="0"/>
        <v/>
      </c>
      <c r="AK30" s="24" t="str">
        <f t="shared" si="1"/>
        <v/>
      </c>
      <c r="AL30" s="25" t="str">
        <f>IF(B30="","",AJ30*N(D30)+AK30*N(D30)/Setup!$B$6*Setup!$B$7)</f>
        <v/>
      </c>
      <c r="AM30" s="25" t="str">
        <f>IF(B30="","",SUMIFS(Payments!$D$5:$D$304,Payments!$B$5:$B$304,A30,Payments!$A$5:$A$304,"&gt;="&amp;DATE(Setup!$B$4,12,1),Payments!$A$5:$A$304,"&lt;="&amp;EOMONTH(DATE(Setup!$B$4,12,1),0)))</f>
        <v/>
      </c>
      <c r="AN30" s="25" t="str">
        <f t="shared" si="2"/>
        <v/>
      </c>
    </row>
    <row r="31" spans="1:40" x14ac:dyDescent="0.3">
      <c r="A31" s="14" t="str">
        <f>IF(INDEX(Workers!$B:$B,ROW())="","",INDEX(Workers!$B:$B,ROW()))</f>
        <v/>
      </c>
      <c r="B31" s="21" t="str">
        <f>IF(INDEX(Workers!$C:$C,ROW())="","",INDEX(Workers!$C:$C,ROW()))</f>
        <v/>
      </c>
      <c r="C31" s="21" t="str">
        <f>IF(INDEX(Workers!$D:$D,ROW())="","",INDEX(Workers!$D:$D,ROW()))</f>
        <v/>
      </c>
      <c r="D31" s="22" t="str">
        <f>IF(INDEX(Workers!$E:$E,ROW())="","",INDEX(Workers!$E:$E,ROW()))</f>
        <v/>
      </c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4" t="str">
        <f t="shared" si="0"/>
        <v/>
      </c>
      <c r="AK31" s="24" t="str">
        <f t="shared" si="1"/>
        <v/>
      </c>
      <c r="AL31" s="25" t="str">
        <f>IF(B31="","",AJ31*N(D31)+AK31*N(D31)/Setup!$B$6*Setup!$B$7)</f>
        <v/>
      </c>
      <c r="AM31" s="25" t="str">
        <f>IF(B31="","",SUMIFS(Payments!$D$5:$D$304,Payments!$B$5:$B$304,A31,Payments!$A$5:$A$304,"&gt;="&amp;DATE(Setup!$B$4,12,1),Payments!$A$5:$A$304,"&lt;="&amp;EOMONTH(DATE(Setup!$B$4,12,1),0)))</f>
        <v/>
      </c>
      <c r="AN31" s="25" t="str">
        <f t="shared" si="2"/>
        <v/>
      </c>
    </row>
    <row r="32" spans="1:40" x14ac:dyDescent="0.3">
      <c r="A32" s="14" t="str">
        <f>IF(INDEX(Workers!$B:$B,ROW())="","",INDEX(Workers!$B:$B,ROW()))</f>
        <v/>
      </c>
      <c r="B32" s="21" t="str">
        <f>IF(INDEX(Workers!$C:$C,ROW())="","",INDEX(Workers!$C:$C,ROW()))</f>
        <v/>
      </c>
      <c r="C32" s="21" t="str">
        <f>IF(INDEX(Workers!$D:$D,ROW())="","",INDEX(Workers!$D:$D,ROW()))</f>
        <v/>
      </c>
      <c r="D32" s="22" t="str">
        <f>IF(INDEX(Workers!$E:$E,ROW())="","",INDEX(Workers!$E:$E,ROW()))</f>
        <v/>
      </c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4" t="str">
        <f t="shared" si="0"/>
        <v/>
      </c>
      <c r="AK32" s="24" t="str">
        <f t="shared" si="1"/>
        <v/>
      </c>
      <c r="AL32" s="25" t="str">
        <f>IF(B32="","",AJ32*N(D32)+AK32*N(D32)/Setup!$B$6*Setup!$B$7)</f>
        <v/>
      </c>
      <c r="AM32" s="25" t="str">
        <f>IF(B32="","",SUMIFS(Payments!$D$5:$D$304,Payments!$B$5:$B$304,A32,Payments!$A$5:$A$304,"&gt;="&amp;DATE(Setup!$B$4,12,1),Payments!$A$5:$A$304,"&lt;="&amp;EOMONTH(DATE(Setup!$B$4,12,1),0)))</f>
        <v/>
      </c>
      <c r="AN32" s="25" t="str">
        <f t="shared" si="2"/>
        <v/>
      </c>
    </row>
    <row r="33" spans="1:40" x14ac:dyDescent="0.3">
      <c r="A33" s="14" t="str">
        <f>IF(INDEX(Workers!$B:$B,ROW())="","",INDEX(Workers!$B:$B,ROW()))</f>
        <v/>
      </c>
      <c r="B33" s="21" t="str">
        <f>IF(INDEX(Workers!$C:$C,ROW())="","",INDEX(Workers!$C:$C,ROW()))</f>
        <v/>
      </c>
      <c r="C33" s="21" t="str">
        <f>IF(INDEX(Workers!$D:$D,ROW())="","",INDEX(Workers!$D:$D,ROW()))</f>
        <v/>
      </c>
      <c r="D33" s="22" t="str">
        <f>IF(INDEX(Workers!$E:$E,ROW())="","",INDEX(Workers!$E:$E,ROW()))</f>
        <v/>
      </c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4" t="str">
        <f t="shared" si="0"/>
        <v/>
      </c>
      <c r="AK33" s="24" t="str">
        <f t="shared" si="1"/>
        <v/>
      </c>
      <c r="AL33" s="25" t="str">
        <f>IF(B33="","",AJ33*N(D33)+AK33*N(D33)/Setup!$B$6*Setup!$B$7)</f>
        <v/>
      </c>
      <c r="AM33" s="25" t="str">
        <f>IF(B33="","",SUMIFS(Payments!$D$5:$D$304,Payments!$B$5:$B$304,A33,Payments!$A$5:$A$304,"&gt;="&amp;DATE(Setup!$B$4,12,1),Payments!$A$5:$A$304,"&lt;="&amp;EOMONTH(DATE(Setup!$B$4,12,1),0)))</f>
        <v/>
      </c>
      <c r="AN33" s="25" t="str">
        <f t="shared" si="2"/>
        <v/>
      </c>
    </row>
    <row r="34" spans="1:40" x14ac:dyDescent="0.3">
      <c r="A34" s="14" t="str">
        <f>IF(INDEX(Workers!$B:$B,ROW())="","",INDEX(Workers!$B:$B,ROW()))</f>
        <v/>
      </c>
      <c r="B34" s="21" t="str">
        <f>IF(INDEX(Workers!$C:$C,ROW())="","",INDEX(Workers!$C:$C,ROW()))</f>
        <v/>
      </c>
      <c r="C34" s="21" t="str">
        <f>IF(INDEX(Workers!$D:$D,ROW())="","",INDEX(Workers!$D:$D,ROW()))</f>
        <v/>
      </c>
      <c r="D34" s="22" t="str">
        <f>IF(INDEX(Workers!$E:$E,ROW())="","",INDEX(Workers!$E:$E,ROW()))</f>
        <v/>
      </c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4" t="str">
        <f t="shared" si="0"/>
        <v/>
      </c>
      <c r="AK34" s="24" t="str">
        <f t="shared" si="1"/>
        <v/>
      </c>
      <c r="AL34" s="25" t="str">
        <f>IF(B34="","",AJ34*N(D34)+AK34*N(D34)/Setup!$B$6*Setup!$B$7)</f>
        <v/>
      </c>
      <c r="AM34" s="25" t="str">
        <f>IF(B34="","",SUMIFS(Payments!$D$5:$D$304,Payments!$B$5:$B$304,A34,Payments!$A$5:$A$304,"&gt;="&amp;DATE(Setup!$B$4,12,1),Payments!$A$5:$A$304,"&lt;="&amp;EOMONTH(DATE(Setup!$B$4,12,1),0)))</f>
        <v/>
      </c>
      <c r="AN34" s="25" t="str">
        <f t="shared" si="2"/>
        <v/>
      </c>
    </row>
    <row r="35" spans="1:40" x14ac:dyDescent="0.3">
      <c r="A35" s="14" t="str">
        <f>IF(INDEX(Workers!$B:$B,ROW())="","",INDEX(Workers!$B:$B,ROW()))</f>
        <v/>
      </c>
      <c r="B35" s="21" t="str">
        <f>IF(INDEX(Workers!$C:$C,ROW())="","",INDEX(Workers!$C:$C,ROW()))</f>
        <v/>
      </c>
      <c r="C35" s="21" t="str">
        <f>IF(INDEX(Workers!$D:$D,ROW())="","",INDEX(Workers!$D:$D,ROW()))</f>
        <v/>
      </c>
      <c r="D35" s="22" t="str">
        <f>IF(INDEX(Workers!$E:$E,ROW())="","",INDEX(Workers!$E:$E,ROW()))</f>
        <v/>
      </c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4" t="str">
        <f t="shared" si="0"/>
        <v/>
      </c>
      <c r="AK35" s="24" t="str">
        <f t="shared" si="1"/>
        <v/>
      </c>
      <c r="AL35" s="25" t="str">
        <f>IF(B35="","",AJ35*N(D35)+AK35*N(D35)/Setup!$B$6*Setup!$B$7)</f>
        <v/>
      </c>
      <c r="AM35" s="25" t="str">
        <f>IF(B35="","",SUMIFS(Payments!$D$5:$D$304,Payments!$B$5:$B$304,A35,Payments!$A$5:$A$304,"&gt;="&amp;DATE(Setup!$B$4,12,1),Payments!$A$5:$A$304,"&lt;="&amp;EOMONTH(DATE(Setup!$B$4,12,1),0)))</f>
        <v/>
      </c>
      <c r="AN35" s="25" t="str">
        <f t="shared" si="2"/>
        <v/>
      </c>
    </row>
    <row r="36" spans="1:40" x14ac:dyDescent="0.3">
      <c r="A36" s="14" t="str">
        <f>IF(INDEX(Workers!$B:$B,ROW())="","",INDEX(Workers!$B:$B,ROW()))</f>
        <v/>
      </c>
      <c r="B36" s="21" t="str">
        <f>IF(INDEX(Workers!$C:$C,ROW())="","",INDEX(Workers!$C:$C,ROW()))</f>
        <v/>
      </c>
      <c r="C36" s="21" t="str">
        <f>IF(INDEX(Workers!$D:$D,ROW())="","",INDEX(Workers!$D:$D,ROW()))</f>
        <v/>
      </c>
      <c r="D36" s="22" t="str">
        <f>IF(INDEX(Workers!$E:$E,ROW())="","",INDEX(Workers!$E:$E,ROW()))</f>
        <v/>
      </c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4" t="str">
        <f t="shared" si="0"/>
        <v/>
      </c>
      <c r="AK36" s="24" t="str">
        <f t="shared" si="1"/>
        <v/>
      </c>
      <c r="AL36" s="25" t="str">
        <f>IF(B36="","",AJ36*N(D36)+AK36*N(D36)/Setup!$B$6*Setup!$B$7)</f>
        <v/>
      </c>
      <c r="AM36" s="25" t="str">
        <f>IF(B36="","",SUMIFS(Payments!$D$5:$D$304,Payments!$B$5:$B$304,A36,Payments!$A$5:$A$304,"&gt;="&amp;DATE(Setup!$B$4,12,1),Payments!$A$5:$A$304,"&lt;="&amp;EOMONTH(DATE(Setup!$B$4,12,1),0)))</f>
        <v/>
      </c>
      <c r="AN36" s="25" t="str">
        <f t="shared" si="2"/>
        <v/>
      </c>
    </row>
    <row r="37" spans="1:40" x14ac:dyDescent="0.3">
      <c r="A37" s="14" t="str">
        <f>IF(INDEX(Workers!$B:$B,ROW())="","",INDEX(Workers!$B:$B,ROW()))</f>
        <v/>
      </c>
      <c r="B37" s="21" t="str">
        <f>IF(INDEX(Workers!$C:$C,ROW())="","",INDEX(Workers!$C:$C,ROW()))</f>
        <v/>
      </c>
      <c r="C37" s="21" t="str">
        <f>IF(INDEX(Workers!$D:$D,ROW())="","",INDEX(Workers!$D:$D,ROW()))</f>
        <v/>
      </c>
      <c r="D37" s="22" t="str">
        <f>IF(INDEX(Workers!$E:$E,ROW())="","",INDEX(Workers!$E:$E,ROW()))</f>
        <v/>
      </c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4" t="str">
        <f t="shared" si="0"/>
        <v/>
      </c>
      <c r="AK37" s="24" t="str">
        <f t="shared" si="1"/>
        <v/>
      </c>
      <c r="AL37" s="25" t="str">
        <f>IF(B37="","",AJ37*N(D37)+AK37*N(D37)/Setup!$B$6*Setup!$B$7)</f>
        <v/>
      </c>
      <c r="AM37" s="25" t="str">
        <f>IF(B37="","",SUMIFS(Payments!$D$5:$D$304,Payments!$B$5:$B$304,A37,Payments!$A$5:$A$304,"&gt;="&amp;DATE(Setup!$B$4,12,1),Payments!$A$5:$A$304,"&lt;="&amp;EOMONTH(DATE(Setup!$B$4,12,1),0)))</f>
        <v/>
      </c>
      <c r="AN37" s="25" t="str">
        <f t="shared" si="2"/>
        <v/>
      </c>
    </row>
    <row r="38" spans="1:40" x14ac:dyDescent="0.3">
      <c r="A38" s="14" t="str">
        <f>IF(INDEX(Workers!$B:$B,ROW())="","",INDEX(Workers!$B:$B,ROW()))</f>
        <v/>
      </c>
      <c r="B38" s="21" t="str">
        <f>IF(INDEX(Workers!$C:$C,ROW())="","",INDEX(Workers!$C:$C,ROW()))</f>
        <v/>
      </c>
      <c r="C38" s="21" t="str">
        <f>IF(INDEX(Workers!$D:$D,ROW())="","",INDEX(Workers!$D:$D,ROW()))</f>
        <v/>
      </c>
      <c r="D38" s="22" t="str">
        <f>IF(INDEX(Workers!$E:$E,ROW())="","",INDEX(Workers!$E:$E,ROW()))</f>
        <v/>
      </c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4" t="str">
        <f t="shared" si="0"/>
        <v/>
      </c>
      <c r="AK38" s="24" t="str">
        <f t="shared" si="1"/>
        <v/>
      </c>
      <c r="AL38" s="25" t="str">
        <f>IF(B38="","",AJ38*N(D38)+AK38*N(D38)/Setup!$B$6*Setup!$B$7)</f>
        <v/>
      </c>
      <c r="AM38" s="25" t="str">
        <f>IF(B38="","",SUMIFS(Payments!$D$5:$D$304,Payments!$B$5:$B$304,A38,Payments!$A$5:$A$304,"&gt;="&amp;DATE(Setup!$B$4,12,1),Payments!$A$5:$A$304,"&lt;="&amp;EOMONTH(DATE(Setup!$B$4,12,1),0)))</f>
        <v/>
      </c>
      <c r="AN38" s="25" t="str">
        <f t="shared" si="2"/>
        <v/>
      </c>
    </row>
    <row r="39" spans="1:40" x14ac:dyDescent="0.3">
      <c r="A39" s="14" t="str">
        <f>IF(INDEX(Workers!$B:$B,ROW())="","",INDEX(Workers!$B:$B,ROW()))</f>
        <v/>
      </c>
      <c r="B39" s="21" t="str">
        <f>IF(INDEX(Workers!$C:$C,ROW())="","",INDEX(Workers!$C:$C,ROW()))</f>
        <v/>
      </c>
      <c r="C39" s="21" t="str">
        <f>IF(INDEX(Workers!$D:$D,ROW())="","",INDEX(Workers!$D:$D,ROW()))</f>
        <v/>
      </c>
      <c r="D39" s="22" t="str">
        <f>IF(INDEX(Workers!$E:$E,ROW())="","",INDEX(Workers!$E:$E,ROW()))</f>
        <v/>
      </c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4" t="str">
        <f t="shared" si="0"/>
        <v/>
      </c>
      <c r="AK39" s="24" t="str">
        <f t="shared" si="1"/>
        <v/>
      </c>
      <c r="AL39" s="25" t="str">
        <f>IF(B39="","",AJ39*N(D39)+AK39*N(D39)/Setup!$B$6*Setup!$B$7)</f>
        <v/>
      </c>
      <c r="AM39" s="25" t="str">
        <f>IF(B39="","",SUMIFS(Payments!$D$5:$D$304,Payments!$B$5:$B$304,A39,Payments!$A$5:$A$304,"&gt;="&amp;DATE(Setup!$B$4,12,1),Payments!$A$5:$A$304,"&lt;="&amp;EOMONTH(DATE(Setup!$B$4,12,1),0)))</f>
        <v/>
      </c>
      <c r="AN39" s="25" t="str">
        <f t="shared" si="2"/>
        <v/>
      </c>
    </row>
    <row r="40" spans="1:40" x14ac:dyDescent="0.3">
      <c r="A40" s="14" t="str">
        <f>IF(INDEX(Workers!$B:$B,ROW())="","",INDEX(Workers!$B:$B,ROW()))</f>
        <v/>
      </c>
      <c r="B40" s="21" t="str">
        <f>IF(INDEX(Workers!$C:$C,ROW())="","",INDEX(Workers!$C:$C,ROW()))</f>
        <v/>
      </c>
      <c r="C40" s="21" t="str">
        <f>IF(INDEX(Workers!$D:$D,ROW())="","",INDEX(Workers!$D:$D,ROW()))</f>
        <v/>
      </c>
      <c r="D40" s="22" t="str">
        <f>IF(INDEX(Workers!$E:$E,ROW())="","",INDEX(Workers!$E:$E,ROW()))</f>
        <v/>
      </c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4" t="str">
        <f t="shared" si="0"/>
        <v/>
      </c>
      <c r="AK40" s="24" t="str">
        <f t="shared" si="1"/>
        <v/>
      </c>
      <c r="AL40" s="25" t="str">
        <f>IF(B40="","",AJ40*N(D40)+AK40*N(D40)/Setup!$B$6*Setup!$B$7)</f>
        <v/>
      </c>
      <c r="AM40" s="25" t="str">
        <f>IF(B40="","",SUMIFS(Payments!$D$5:$D$304,Payments!$B$5:$B$304,A40,Payments!$A$5:$A$304,"&gt;="&amp;DATE(Setup!$B$4,12,1),Payments!$A$5:$A$304,"&lt;="&amp;EOMONTH(DATE(Setup!$B$4,12,1),0)))</f>
        <v/>
      </c>
      <c r="AN40" s="25" t="str">
        <f t="shared" si="2"/>
        <v/>
      </c>
    </row>
    <row r="41" spans="1:40" x14ac:dyDescent="0.3">
      <c r="A41" s="14" t="str">
        <f>IF(INDEX(Workers!$B:$B,ROW())="","",INDEX(Workers!$B:$B,ROW()))</f>
        <v/>
      </c>
      <c r="B41" s="21" t="str">
        <f>IF(INDEX(Workers!$C:$C,ROW())="","",INDEX(Workers!$C:$C,ROW()))</f>
        <v/>
      </c>
      <c r="C41" s="21" t="str">
        <f>IF(INDEX(Workers!$D:$D,ROW())="","",INDEX(Workers!$D:$D,ROW()))</f>
        <v/>
      </c>
      <c r="D41" s="22" t="str">
        <f>IF(INDEX(Workers!$E:$E,ROW())="","",INDEX(Workers!$E:$E,ROW()))</f>
        <v/>
      </c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4" t="str">
        <f t="shared" si="0"/>
        <v/>
      </c>
      <c r="AK41" s="24" t="str">
        <f t="shared" si="1"/>
        <v/>
      </c>
      <c r="AL41" s="25" t="str">
        <f>IF(B41="","",AJ41*N(D41)+AK41*N(D41)/Setup!$B$6*Setup!$B$7)</f>
        <v/>
      </c>
      <c r="AM41" s="25" t="str">
        <f>IF(B41="","",SUMIFS(Payments!$D$5:$D$304,Payments!$B$5:$B$304,A41,Payments!$A$5:$A$304,"&gt;="&amp;DATE(Setup!$B$4,12,1),Payments!$A$5:$A$304,"&lt;="&amp;EOMONTH(DATE(Setup!$B$4,12,1),0)))</f>
        <v/>
      </c>
      <c r="AN41" s="25" t="str">
        <f t="shared" si="2"/>
        <v/>
      </c>
    </row>
    <row r="42" spans="1:40" x14ac:dyDescent="0.3">
      <c r="A42" s="14" t="str">
        <f>IF(INDEX(Workers!$B:$B,ROW())="","",INDEX(Workers!$B:$B,ROW()))</f>
        <v/>
      </c>
      <c r="B42" s="21" t="str">
        <f>IF(INDEX(Workers!$C:$C,ROW())="","",INDEX(Workers!$C:$C,ROW()))</f>
        <v/>
      </c>
      <c r="C42" s="21" t="str">
        <f>IF(INDEX(Workers!$D:$D,ROW())="","",INDEX(Workers!$D:$D,ROW()))</f>
        <v/>
      </c>
      <c r="D42" s="22" t="str">
        <f>IF(INDEX(Workers!$E:$E,ROW())="","",INDEX(Workers!$E:$E,ROW()))</f>
        <v/>
      </c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4" t="str">
        <f t="shared" si="0"/>
        <v/>
      </c>
      <c r="AK42" s="24" t="str">
        <f t="shared" si="1"/>
        <v/>
      </c>
      <c r="AL42" s="25" t="str">
        <f>IF(B42="","",AJ42*N(D42)+AK42*N(D42)/Setup!$B$6*Setup!$B$7)</f>
        <v/>
      </c>
      <c r="AM42" s="25" t="str">
        <f>IF(B42="","",SUMIFS(Payments!$D$5:$D$304,Payments!$B$5:$B$304,A42,Payments!$A$5:$A$304,"&gt;="&amp;DATE(Setup!$B$4,12,1),Payments!$A$5:$A$304,"&lt;="&amp;EOMONTH(DATE(Setup!$B$4,12,1),0)))</f>
        <v/>
      </c>
      <c r="AN42" s="25" t="str">
        <f t="shared" si="2"/>
        <v/>
      </c>
    </row>
    <row r="43" spans="1:40" x14ac:dyDescent="0.3">
      <c r="A43" s="14" t="str">
        <f>IF(INDEX(Workers!$B:$B,ROW())="","",INDEX(Workers!$B:$B,ROW()))</f>
        <v/>
      </c>
      <c r="B43" s="21" t="str">
        <f>IF(INDEX(Workers!$C:$C,ROW())="","",INDEX(Workers!$C:$C,ROW()))</f>
        <v/>
      </c>
      <c r="C43" s="21" t="str">
        <f>IF(INDEX(Workers!$D:$D,ROW())="","",INDEX(Workers!$D:$D,ROW()))</f>
        <v/>
      </c>
      <c r="D43" s="22" t="str">
        <f>IF(INDEX(Workers!$E:$E,ROW())="","",INDEX(Workers!$E:$E,ROW()))</f>
        <v/>
      </c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4" t="str">
        <f t="shared" si="0"/>
        <v/>
      </c>
      <c r="AK43" s="24" t="str">
        <f t="shared" si="1"/>
        <v/>
      </c>
      <c r="AL43" s="25" t="str">
        <f>IF(B43="","",AJ43*N(D43)+AK43*N(D43)/Setup!$B$6*Setup!$B$7)</f>
        <v/>
      </c>
      <c r="AM43" s="25" t="str">
        <f>IF(B43="","",SUMIFS(Payments!$D$5:$D$304,Payments!$B$5:$B$304,A43,Payments!$A$5:$A$304,"&gt;="&amp;DATE(Setup!$B$4,12,1),Payments!$A$5:$A$304,"&lt;="&amp;EOMONTH(DATE(Setup!$B$4,12,1),0)))</f>
        <v/>
      </c>
      <c r="AN43" s="25" t="str">
        <f t="shared" si="2"/>
        <v/>
      </c>
    </row>
    <row r="44" spans="1:40" x14ac:dyDescent="0.3">
      <c r="A44" s="14" t="str">
        <f>IF(INDEX(Workers!$B:$B,ROW())="","",INDEX(Workers!$B:$B,ROW()))</f>
        <v/>
      </c>
      <c r="B44" s="21" t="str">
        <f>IF(INDEX(Workers!$C:$C,ROW())="","",INDEX(Workers!$C:$C,ROW()))</f>
        <v/>
      </c>
      <c r="C44" s="21" t="str">
        <f>IF(INDEX(Workers!$D:$D,ROW())="","",INDEX(Workers!$D:$D,ROW()))</f>
        <v/>
      </c>
      <c r="D44" s="22" t="str">
        <f>IF(INDEX(Workers!$E:$E,ROW())="","",INDEX(Workers!$E:$E,ROW()))</f>
        <v/>
      </c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4" t="str">
        <f t="shared" si="0"/>
        <v/>
      </c>
      <c r="AK44" s="24" t="str">
        <f t="shared" si="1"/>
        <v/>
      </c>
      <c r="AL44" s="25" t="str">
        <f>IF(B44="","",AJ44*N(D44)+AK44*N(D44)/Setup!$B$6*Setup!$B$7)</f>
        <v/>
      </c>
      <c r="AM44" s="25" t="str">
        <f>IF(B44="","",SUMIFS(Payments!$D$5:$D$304,Payments!$B$5:$B$304,A44,Payments!$A$5:$A$304,"&gt;="&amp;DATE(Setup!$B$4,12,1),Payments!$A$5:$A$304,"&lt;="&amp;EOMONTH(DATE(Setup!$B$4,12,1),0)))</f>
        <v/>
      </c>
      <c r="AN44" s="25" t="str">
        <f t="shared" si="2"/>
        <v/>
      </c>
    </row>
    <row r="45" spans="1:40" x14ac:dyDescent="0.3">
      <c r="A45" s="26"/>
      <c r="B45" s="26" t="s">
        <v>88</v>
      </c>
      <c r="C45" s="26"/>
      <c r="D45" s="26"/>
      <c r="E45" s="27">
        <f t="shared" ref="E45:AI45" si="3">IF(E$3="","",COUNTIF(E5:E44,"P")+COUNTIF(E5:E44,"H")+COUNT(E5:E44))</f>
        <v>0</v>
      </c>
      <c r="F45" s="27">
        <f t="shared" si="3"/>
        <v>0</v>
      </c>
      <c r="G45" s="27">
        <f t="shared" si="3"/>
        <v>0</v>
      </c>
      <c r="H45" s="27">
        <f t="shared" si="3"/>
        <v>0</v>
      </c>
      <c r="I45" s="27">
        <f t="shared" si="3"/>
        <v>0</v>
      </c>
      <c r="J45" s="27">
        <f t="shared" si="3"/>
        <v>0</v>
      </c>
      <c r="K45" s="27">
        <f t="shared" si="3"/>
        <v>0</v>
      </c>
      <c r="L45" s="27">
        <f t="shared" si="3"/>
        <v>0</v>
      </c>
      <c r="M45" s="27">
        <f t="shared" si="3"/>
        <v>0</v>
      </c>
      <c r="N45" s="27">
        <f t="shared" si="3"/>
        <v>0</v>
      </c>
      <c r="O45" s="27">
        <f t="shared" si="3"/>
        <v>0</v>
      </c>
      <c r="P45" s="27">
        <f t="shared" si="3"/>
        <v>0</v>
      </c>
      <c r="Q45" s="27">
        <f t="shared" si="3"/>
        <v>0</v>
      </c>
      <c r="R45" s="27">
        <f t="shared" si="3"/>
        <v>0</v>
      </c>
      <c r="S45" s="27">
        <f t="shared" si="3"/>
        <v>0</v>
      </c>
      <c r="T45" s="27">
        <f t="shared" si="3"/>
        <v>0</v>
      </c>
      <c r="U45" s="27">
        <f t="shared" si="3"/>
        <v>0</v>
      </c>
      <c r="V45" s="27">
        <f t="shared" si="3"/>
        <v>0</v>
      </c>
      <c r="W45" s="27">
        <f t="shared" si="3"/>
        <v>0</v>
      </c>
      <c r="X45" s="27">
        <f t="shared" si="3"/>
        <v>0</v>
      </c>
      <c r="Y45" s="27">
        <f t="shared" si="3"/>
        <v>0</v>
      </c>
      <c r="Z45" s="27">
        <f t="shared" si="3"/>
        <v>0</v>
      </c>
      <c r="AA45" s="27">
        <f t="shared" si="3"/>
        <v>0</v>
      </c>
      <c r="AB45" s="27">
        <f t="shared" si="3"/>
        <v>0</v>
      </c>
      <c r="AC45" s="27">
        <f t="shared" si="3"/>
        <v>0</v>
      </c>
      <c r="AD45" s="27">
        <f t="shared" si="3"/>
        <v>0</v>
      </c>
      <c r="AE45" s="27">
        <f t="shared" si="3"/>
        <v>0</v>
      </c>
      <c r="AF45" s="27">
        <f t="shared" si="3"/>
        <v>0</v>
      </c>
      <c r="AG45" s="27">
        <f t="shared" si="3"/>
        <v>0</v>
      </c>
      <c r="AH45" s="27">
        <f t="shared" si="3"/>
        <v>0</v>
      </c>
      <c r="AI45" s="27">
        <f t="shared" si="3"/>
        <v>0</v>
      </c>
      <c r="AJ45" s="28">
        <f>SUM(AJ5:AJ44)</f>
        <v>0</v>
      </c>
      <c r="AK45" s="28">
        <f>SUM(AK5:AK44)</f>
        <v>0</v>
      </c>
      <c r="AL45" s="29">
        <f>SUM(AL5:AL44)</f>
        <v>0</v>
      </c>
      <c r="AM45" s="29">
        <f>SUM(AM5:AM44)</f>
        <v>0</v>
      </c>
      <c r="AN45" s="29">
        <f>SUM(AN5:AN44)</f>
        <v>0</v>
      </c>
    </row>
  </sheetData>
  <conditionalFormatting sqref="E3:AI3">
    <cfRule type="expression" dxfId="6" priority="2">
      <formula>E$3="Sun"</formula>
    </cfRule>
  </conditionalFormatting>
  <conditionalFormatting sqref="E3:AI45">
    <cfRule type="expression" dxfId="5" priority="1">
      <formula>E$3=""</formula>
    </cfRule>
  </conditionalFormatting>
  <conditionalFormatting sqref="E5:AI44">
    <cfRule type="expression" dxfId="4" priority="6">
      <formula>E5="A"</formula>
    </cfRule>
    <cfRule type="expression" dxfId="3" priority="7">
      <formula>E5="H"</formula>
    </cfRule>
    <cfRule type="expression" dxfId="2" priority="8">
      <formula>ISNUMBER(E5)</formula>
    </cfRule>
  </conditionalFormatting>
  <conditionalFormatting sqref="E5:AI45">
    <cfRule type="expression" dxfId="1" priority="4">
      <formula>E$3="Sun"</formula>
    </cfRule>
  </conditionalFormatting>
  <conditionalFormatting sqref="AN5:AN44">
    <cfRule type="expression" dxfId="0" priority="9">
      <formula>AN5&lt;0</formula>
    </cfRule>
  </conditionalFormatting>
  <dataValidations count="1">
    <dataValidation type="custom" allowBlank="1" showErrorMessage="1" errorTitle="Attendance code" error="Type P, H, A, L, or the number of overtime hours (0 to 12). Shaded days do not exist in this month." sqref="E5:AI44" xr:uid="{00000000-0002-0000-0E00-000000000000}">
      <formula1>AND(E$3&lt;&gt;"",OR(E5="P",E5="H",E5="A",E5="L",AND(ISNUMBER(E5),E5&gt;=0,E5&lt;=12)))</formula1>
    </dataValidation>
  </dataValidations>
  <printOptions horizontalCentered="1"/>
  <pageMargins left="0.45" right="0.45" top="0.6" bottom="0.6" header="0.3" footer="0.3"/>
  <pageSetup paperSize="9" scale="66" orientation="landscape" r:id="rId1"/>
  <headerFooter>
    <oddFooter>&amp;L&amp;8Free from NirmanDost - nirmandost.in - sign up for more free tools&amp;R&amp;8Page &amp;P of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G304"/>
  <sheetViews>
    <sheetView showGridLines="0" workbookViewId="0">
      <pane ySplit="4" topLeftCell="A5" activePane="bottomLeft" state="frozen"/>
      <selection pane="bottomLeft"/>
    </sheetView>
  </sheetViews>
  <sheetFormatPr defaultRowHeight="14.4" x14ac:dyDescent="0.3"/>
  <cols>
    <col min="1" max="1" width="13" customWidth="1"/>
    <col min="2" max="2" width="11" customWidth="1"/>
    <col min="3" max="3" width="26" customWidth="1"/>
    <col min="4" max="4" width="15" customWidth="1"/>
    <col min="5" max="6" width="16" customWidth="1"/>
    <col min="7" max="7" width="30" customWidth="1"/>
  </cols>
  <sheetData>
    <row r="1" spans="1:7" ht="21" x14ac:dyDescent="0.4">
      <c r="A1" s="8" t="s">
        <v>89</v>
      </c>
    </row>
    <row r="2" spans="1:7" x14ac:dyDescent="0.3">
      <c r="A2" s="2" t="s">
        <v>90</v>
      </c>
    </row>
    <row r="4" spans="1:7" ht="30" customHeight="1" x14ac:dyDescent="0.3">
      <c r="A4" s="13" t="s">
        <v>91</v>
      </c>
      <c r="B4" s="13" t="s">
        <v>36</v>
      </c>
      <c r="C4" s="13" t="s">
        <v>37</v>
      </c>
      <c r="D4" s="13" t="s">
        <v>92</v>
      </c>
      <c r="E4" s="13" t="s">
        <v>93</v>
      </c>
      <c r="F4" s="13" t="s">
        <v>94</v>
      </c>
      <c r="G4" s="13" t="s">
        <v>43</v>
      </c>
    </row>
    <row r="5" spans="1:7" x14ac:dyDescent="0.3">
      <c r="A5" s="17">
        <v>46299</v>
      </c>
      <c r="B5" s="11" t="s">
        <v>44</v>
      </c>
      <c r="C5" s="30" t="str">
        <f>IF(B5="","",IFERROR(INDEX(Workers!$C$5:$C$44,MATCH(B5,Workers!$B$5:$B$44,0)),"no such ID"))</f>
        <v>Ramesh (EXAMPLE, clear me)</v>
      </c>
      <c r="D5" s="16">
        <v>2000</v>
      </c>
      <c r="E5" s="11" t="s">
        <v>95</v>
      </c>
      <c r="F5" s="11" t="s">
        <v>96</v>
      </c>
      <c r="G5" s="15" t="s">
        <v>97</v>
      </c>
    </row>
    <row r="6" spans="1:7" x14ac:dyDescent="0.3">
      <c r="A6" s="17"/>
      <c r="B6" s="11"/>
      <c r="C6" s="30" t="str">
        <f>IF(B6="","",IFERROR(INDEX(Workers!$C$5:$C$44,MATCH(B6,Workers!$B$5:$B$44,0)),"no such ID"))</f>
        <v/>
      </c>
      <c r="D6" s="16"/>
      <c r="E6" s="11"/>
      <c r="F6" s="11"/>
      <c r="G6" s="11"/>
    </row>
    <row r="7" spans="1:7" x14ac:dyDescent="0.3">
      <c r="A7" s="17"/>
      <c r="B7" s="11"/>
      <c r="C7" s="30" t="str">
        <f>IF(B7="","",IFERROR(INDEX(Workers!$C$5:$C$44,MATCH(B7,Workers!$B$5:$B$44,0)),"no such ID"))</f>
        <v/>
      </c>
      <c r="D7" s="16"/>
      <c r="E7" s="11"/>
      <c r="F7" s="11"/>
      <c r="G7" s="11"/>
    </row>
    <row r="8" spans="1:7" x14ac:dyDescent="0.3">
      <c r="A8" s="17"/>
      <c r="B8" s="11"/>
      <c r="C8" s="30" t="str">
        <f>IF(B8="","",IFERROR(INDEX(Workers!$C$5:$C$44,MATCH(B8,Workers!$B$5:$B$44,0)),"no such ID"))</f>
        <v/>
      </c>
      <c r="D8" s="16"/>
      <c r="E8" s="11"/>
      <c r="F8" s="11"/>
      <c r="G8" s="11"/>
    </row>
    <row r="9" spans="1:7" x14ac:dyDescent="0.3">
      <c r="A9" s="17"/>
      <c r="B9" s="11"/>
      <c r="C9" s="30" t="str">
        <f>IF(B9="","",IFERROR(INDEX(Workers!$C$5:$C$44,MATCH(B9,Workers!$B$5:$B$44,0)),"no such ID"))</f>
        <v/>
      </c>
      <c r="D9" s="16"/>
      <c r="E9" s="11"/>
      <c r="F9" s="11"/>
      <c r="G9" s="11"/>
    </row>
    <row r="10" spans="1:7" x14ac:dyDescent="0.3">
      <c r="A10" s="17"/>
      <c r="B10" s="11"/>
      <c r="C10" s="30" t="str">
        <f>IF(B10="","",IFERROR(INDEX(Workers!$C$5:$C$44,MATCH(B10,Workers!$B$5:$B$44,0)),"no such ID"))</f>
        <v/>
      </c>
      <c r="D10" s="16"/>
      <c r="E10" s="11"/>
      <c r="F10" s="11"/>
      <c r="G10" s="11"/>
    </row>
    <row r="11" spans="1:7" x14ac:dyDescent="0.3">
      <c r="A11" s="17"/>
      <c r="B11" s="11"/>
      <c r="C11" s="30" t="str">
        <f>IF(B11="","",IFERROR(INDEX(Workers!$C$5:$C$44,MATCH(B11,Workers!$B$5:$B$44,0)),"no such ID"))</f>
        <v/>
      </c>
      <c r="D11" s="16"/>
      <c r="E11" s="11"/>
      <c r="F11" s="11"/>
      <c r="G11" s="11"/>
    </row>
    <row r="12" spans="1:7" x14ac:dyDescent="0.3">
      <c r="A12" s="17"/>
      <c r="B12" s="11"/>
      <c r="C12" s="30" t="str">
        <f>IF(B12="","",IFERROR(INDEX(Workers!$C$5:$C$44,MATCH(B12,Workers!$B$5:$B$44,0)),"no such ID"))</f>
        <v/>
      </c>
      <c r="D12" s="16"/>
      <c r="E12" s="11"/>
      <c r="F12" s="11"/>
      <c r="G12" s="11"/>
    </row>
    <row r="13" spans="1:7" x14ac:dyDescent="0.3">
      <c r="A13" s="17"/>
      <c r="B13" s="11"/>
      <c r="C13" s="30" t="str">
        <f>IF(B13="","",IFERROR(INDEX(Workers!$C$5:$C$44,MATCH(B13,Workers!$B$5:$B$44,0)),"no such ID"))</f>
        <v/>
      </c>
      <c r="D13" s="16"/>
      <c r="E13" s="11"/>
      <c r="F13" s="11"/>
      <c r="G13" s="11"/>
    </row>
    <row r="14" spans="1:7" x14ac:dyDescent="0.3">
      <c r="A14" s="17"/>
      <c r="B14" s="11"/>
      <c r="C14" s="30" t="str">
        <f>IF(B14="","",IFERROR(INDEX(Workers!$C$5:$C$44,MATCH(B14,Workers!$B$5:$B$44,0)),"no such ID"))</f>
        <v/>
      </c>
      <c r="D14" s="16"/>
      <c r="E14" s="11"/>
      <c r="F14" s="11"/>
      <c r="G14" s="11"/>
    </row>
    <row r="15" spans="1:7" x14ac:dyDescent="0.3">
      <c r="A15" s="17"/>
      <c r="B15" s="11"/>
      <c r="C15" s="30" t="str">
        <f>IF(B15="","",IFERROR(INDEX(Workers!$C$5:$C$44,MATCH(B15,Workers!$B$5:$B$44,0)),"no such ID"))</f>
        <v/>
      </c>
      <c r="D15" s="16"/>
      <c r="E15" s="11"/>
      <c r="F15" s="11"/>
      <c r="G15" s="11"/>
    </row>
    <row r="16" spans="1:7" x14ac:dyDescent="0.3">
      <c r="A16" s="17"/>
      <c r="B16" s="11"/>
      <c r="C16" s="30" t="str">
        <f>IF(B16="","",IFERROR(INDEX(Workers!$C$5:$C$44,MATCH(B16,Workers!$B$5:$B$44,0)),"no such ID"))</f>
        <v/>
      </c>
      <c r="D16" s="16"/>
      <c r="E16" s="11"/>
      <c r="F16" s="11"/>
      <c r="G16" s="11"/>
    </row>
    <row r="17" spans="1:7" x14ac:dyDescent="0.3">
      <c r="A17" s="17"/>
      <c r="B17" s="11"/>
      <c r="C17" s="30" t="str">
        <f>IF(B17="","",IFERROR(INDEX(Workers!$C$5:$C$44,MATCH(B17,Workers!$B$5:$B$44,0)),"no such ID"))</f>
        <v/>
      </c>
      <c r="D17" s="16"/>
      <c r="E17" s="11"/>
      <c r="F17" s="11"/>
      <c r="G17" s="11"/>
    </row>
    <row r="18" spans="1:7" x14ac:dyDescent="0.3">
      <c r="A18" s="17"/>
      <c r="B18" s="11"/>
      <c r="C18" s="30" t="str">
        <f>IF(B18="","",IFERROR(INDEX(Workers!$C$5:$C$44,MATCH(B18,Workers!$B$5:$B$44,0)),"no such ID"))</f>
        <v/>
      </c>
      <c r="D18" s="16"/>
      <c r="E18" s="11"/>
      <c r="F18" s="11"/>
      <c r="G18" s="11"/>
    </row>
    <row r="19" spans="1:7" x14ac:dyDescent="0.3">
      <c r="A19" s="17"/>
      <c r="B19" s="11"/>
      <c r="C19" s="30" t="str">
        <f>IF(B19="","",IFERROR(INDEX(Workers!$C$5:$C$44,MATCH(B19,Workers!$B$5:$B$44,0)),"no such ID"))</f>
        <v/>
      </c>
      <c r="D19" s="16"/>
      <c r="E19" s="11"/>
      <c r="F19" s="11"/>
      <c r="G19" s="11"/>
    </row>
    <row r="20" spans="1:7" x14ac:dyDescent="0.3">
      <c r="A20" s="17"/>
      <c r="B20" s="11"/>
      <c r="C20" s="30" t="str">
        <f>IF(B20="","",IFERROR(INDEX(Workers!$C$5:$C$44,MATCH(B20,Workers!$B$5:$B$44,0)),"no such ID"))</f>
        <v/>
      </c>
      <c r="D20" s="16"/>
      <c r="E20" s="11"/>
      <c r="F20" s="11"/>
      <c r="G20" s="11"/>
    </row>
    <row r="21" spans="1:7" x14ac:dyDescent="0.3">
      <c r="A21" s="17"/>
      <c r="B21" s="11"/>
      <c r="C21" s="30" t="str">
        <f>IF(B21="","",IFERROR(INDEX(Workers!$C$5:$C$44,MATCH(B21,Workers!$B$5:$B$44,0)),"no such ID"))</f>
        <v/>
      </c>
      <c r="D21" s="16"/>
      <c r="E21" s="11"/>
      <c r="F21" s="11"/>
      <c r="G21" s="11"/>
    </row>
    <row r="22" spans="1:7" x14ac:dyDescent="0.3">
      <c r="A22" s="17"/>
      <c r="B22" s="11"/>
      <c r="C22" s="30" t="str">
        <f>IF(B22="","",IFERROR(INDEX(Workers!$C$5:$C$44,MATCH(B22,Workers!$B$5:$B$44,0)),"no such ID"))</f>
        <v/>
      </c>
      <c r="D22" s="16"/>
      <c r="E22" s="11"/>
      <c r="F22" s="11"/>
      <c r="G22" s="11"/>
    </row>
    <row r="23" spans="1:7" x14ac:dyDescent="0.3">
      <c r="A23" s="17"/>
      <c r="B23" s="11"/>
      <c r="C23" s="30" t="str">
        <f>IF(B23="","",IFERROR(INDEX(Workers!$C$5:$C$44,MATCH(B23,Workers!$B$5:$B$44,0)),"no such ID"))</f>
        <v/>
      </c>
      <c r="D23" s="16"/>
      <c r="E23" s="11"/>
      <c r="F23" s="11"/>
      <c r="G23" s="11"/>
    </row>
    <row r="24" spans="1:7" x14ac:dyDescent="0.3">
      <c r="A24" s="17"/>
      <c r="B24" s="11"/>
      <c r="C24" s="30" t="str">
        <f>IF(B24="","",IFERROR(INDEX(Workers!$C$5:$C$44,MATCH(B24,Workers!$B$5:$B$44,0)),"no such ID"))</f>
        <v/>
      </c>
      <c r="D24" s="16"/>
      <c r="E24" s="11"/>
      <c r="F24" s="11"/>
      <c r="G24" s="11"/>
    </row>
    <row r="25" spans="1:7" x14ac:dyDescent="0.3">
      <c r="A25" s="17"/>
      <c r="B25" s="11"/>
      <c r="C25" s="30" t="str">
        <f>IF(B25="","",IFERROR(INDEX(Workers!$C$5:$C$44,MATCH(B25,Workers!$B$5:$B$44,0)),"no such ID"))</f>
        <v/>
      </c>
      <c r="D25" s="16"/>
      <c r="E25" s="11"/>
      <c r="F25" s="11"/>
      <c r="G25" s="11"/>
    </row>
    <row r="26" spans="1:7" x14ac:dyDescent="0.3">
      <c r="A26" s="17"/>
      <c r="B26" s="11"/>
      <c r="C26" s="30" t="str">
        <f>IF(B26="","",IFERROR(INDEX(Workers!$C$5:$C$44,MATCH(B26,Workers!$B$5:$B$44,0)),"no such ID"))</f>
        <v/>
      </c>
      <c r="D26" s="16"/>
      <c r="E26" s="11"/>
      <c r="F26" s="11"/>
      <c r="G26" s="11"/>
    </row>
    <row r="27" spans="1:7" x14ac:dyDescent="0.3">
      <c r="A27" s="17"/>
      <c r="B27" s="11"/>
      <c r="C27" s="30" t="str">
        <f>IF(B27="","",IFERROR(INDEX(Workers!$C$5:$C$44,MATCH(B27,Workers!$B$5:$B$44,0)),"no such ID"))</f>
        <v/>
      </c>
      <c r="D27" s="16"/>
      <c r="E27" s="11"/>
      <c r="F27" s="11"/>
      <c r="G27" s="11"/>
    </row>
    <row r="28" spans="1:7" x14ac:dyDescent="0.3">
      <c r="A28" s="17"/>
      <c r="B28" s="11"/>
      <c r="C28" s="30" t="str">
        <f>IF(B28="","",IFERROR(INDEX(Workers!$C$5:$C$44,MATCH(B28,Workers!$B$5:$B$44,0)),"no such ID"))</f>
        <v/>
      </c>
      <c r="D28" s="16"/>
      <c r="E28" s="11"/>
      <c r="F28" s="11"/>
      <c r="G28" s="11"/>
    </row>
    <row r="29" spans="1:7" x14ac:dyDescent="0.3">
      <c r="A29" s="17"/>
      <c r="B29" s="11"/>
      <c r="C29" s="30" t="str">
        <f>IF(B29="","",IFERROR(INDEX(Workers!$C$5:$C$44,MATCH(B29,Workers!$B$5:$B$44,0)),"no such ID"))</f>
        <v/>
      </c>
      <c r="D29" s="16"/>
      <c r="E29" s="11"/>
      <c r="F29" s="11"/>
      <c r="G29" s="11"/>
    </row>
    <row r="30" spans="1:7" x14ac:dyDescent="0.3">
      <c r="A30" s="17"/>
      <c r="B30" s="11"/>
      <c r="C30" s="30" t="str">
        <f>IF(B30="","",IFERROR(INDEX(Workers!$C$5:$C$44,MATCH(B30,Workers!$B$5:$B$44,0)),"no such ID"))</f>
        <v/>
      </c>
      <c r="D30" s="16"/>
      <c r="E30" s="11"/>
      <c r="F30" s="11"/>
      <c r="G30" s="11"/>
    </row>
    <row r="31" spans="1:7" x14ac:dyDescent="0.3">
      <c r="A31" s="17"/>
      <c r="B31" s="11"/>
      <c r="C31" s="30" t="str">
        <f>IF(B31="","",IFERROR(INDEX(Workers!$C$5:$C$44,MATCH(B31,Workers!$B$5:$B$44,0)),"no such ID"))</f>
        <v/>
      </c>
      <c r="D31" s="16"/>
      <c r="E31" s="11"/>
      <c r="F31" s="11"/>
      <c r="G31" s="11"/>
    </row>
    <row r="32" spans="1:7" x14ac:dyDescent="0.3">
      <c r="A32" s="17"/>
      <c r="B32" s="11"/>
      <c r="C32" s="30" t="str">
        <f>IF(B32="","",IFERROR(INDEX(Workers!$C$5:$C$44,MATCH(B32,Workers!$B$5:$B$44,0)),"no such ID"))</f>
        <v/>
      </c>
      <c r="D32" s="16"/>
      <c r="E32" s="11"/>
      <c r="F32" s="11"/>
      <c r="G32" s="11"/>
    </row>
    <row r="33" spans="1:7" x14ac:dyDescent="0.3">
      <c r="A33" s="17"/>
      <c r="B33" s="11"/>
      <c r="C33" s="30" t="str">
        <f>IF(B33="","",IFERROR(INDEX(Workers!$C$5:$C$44,MATCH(B33,Workers!$B$5:$B$44,0)),"no such ID"))</f>
        <v/>
      </c>
      <c r="D33" s="16"/>
      <c r="E33" s="11"/>
      <c r="F33" s="11"/>
      <c r="G33" s="11"/>
    </row>
    <row r="34" spans="1:7" x14ac:dyDescent="0.3">
      <c r="A34" s="17"/>
      <c r="B34" s="11"/>
      <c r="C34" s="30" t="str">
        <f>IF(B34="","",IFERROR(INDEX(Workers!$C$5:$C$44,MATCH(B34,Workers!$B$5:$B$44,0)),"no such ID"))</f>
        <v/>
      </c>
      <c r="D34" s="16"/>
      <c r="E34" s="11"/>
      <c r="F34" s="11"/>
      <c r="G34" s="11"/>
    </row>
    <row r="35" spans="1:7" x14ac:dyDescent="0.3">
      <c r="A35" s="17"/>
      <c r="B35" s="11"/>
      <c r="C35" s="30" t="str">
        <f>IF(B35="","",IFERROR(INDEX(Workers!$C$5:$C$44,MATCH(B35,Workers!$B$5:$B$44,0)),"no such ID"))</f>
        <v/>
      </c>
      <c r="D35" s="16"/>
      <c r="E35" s="11"/>
      <c r="F35" s="11"/>
      <c r="G35" s="11"/>
    </row>
    <row r="36" spans="1:7" x14ac:dyDescent="0.3">
      <c r="A36" s="17"/>
      <c r="B36" s="11"/>
      <c r="C36" s="30" t="str">
        <f>IF(B36="","",IFERROR(INDEX(Workers!$C$5:$C$44,MATCH(B36,Workers!$B$5:$B$44,0)),"no such ID"))</f>
        <v/>
      </c>
      <c r="D36" s="16"/>
      <c r="E36" s="11"/>
      <c r="F36" s="11"/>
      <c r="G36" s="11"/>
    </row>
    <row r="37" spans="1:7" x14ac:dyDescent="0.3">
      <c r="A37" s="17"/>
      <c r="B37" s="11"/>
      <c r="C37" s="30" t="str">
        <f>IF(B37="","",IFERROR(INDEX(Workers!$C$5:$C$44,MATCH(B37,Workers!$B$5:$B$44,0)),"no such ID"))</f>
        <v/>
      </c>
      <c r="D37" s="16"/>
      <c r="E37" s="11"/>
      <c r="F37" s="11"/>
      <c r="G37" s="11"/>
    </row>
    <row r="38" spans="1:7" x14ac:dyDescent="0.3">
      <c r="A38" s="17"/>
      <c r="B38" s="11"/>
      <c r="C38" s="30" t="str">
        <f>IF(B38="","",IFERROR(INDEX(Workers!$C$5:$C$44,MATCH(B38,Workers!$B$5:$B$44,0)),"no such ID"))</f>
        <v/>
      </c>
      <c r="D38" s="16"/>
      <c r="E38" s="11"/>
      <c r="F38" s="11"/>
      <c r="G38" s="11"/>
    </row>
    <row r="39" spans="1:7" x14ac:dyDescent="0.3">
      <c r="A39" s="17"/>
      <c r="B39" s="11"/>
      <c r="C39" s="30" t="str">
        <f>IF(B39="","",IFERROR(INDEX(Workers!$C$5:$C$44,MATCH(B39,Workers!$B$5:$B$44,0)),"no such ID"))</f>
        <v/>
      </c>
      <c r="D39" s="16"/>
      <c r="E39" s="11"/>
      <c r="F39" s="11"/>
      <c r="G39" s="11"/>
    </row>
    <row r="40" spans="1:7" x14ac:dyDescent="0.3">
      <c r="A40" s="17"/>
      <c r="B40" s="11"/>
      <c r="C40" s="30" t="str">
        <f>IF(B40="","",IFERROR(INDEX(Workers!$C$5:$C$44,MATCH(B40,Workers!$B$5:$B$44,0)),"no such ID"))</f>
        <v/>
      </c>
      <c r="D40" s="16"/>
      <c r="E40" s="11"/>
      <c r="F40" s="11"/>
      <c r="G40" s="11"/>
    </row>
    <row r="41" spans="1:7" x14ac:dyDescent="0.3">
      <c r="A41" s="17"/>
      <c r="B41" s="11"/>
      <c r="C41" s="30" t="str">
        <f>IF(B41="","",IFERROR(INDEX(Workers!$C$5:$C$44,MATCH(B41,Workers!$B$5:$B$44,0)),"no such ID"))</f>
        <v/>
      </c>
      <c r="D41" s="16"/>
      <c r="E41" s="11"/>
      <c r="F41" s="11"/>
      <c r="G41" s="11"/>
    </row>
    <row r="42" spans="1:7" x14ac:dyDescent="0.3">
      <c r="A42" s="17"/>
      <c r="B42" s="11"/>
      <c r="C42" s="30" t="str">
        <f>IF(B42="","",IFERROR(INDEX(Workers!$C$5:$C$44,MATCH(B42,Workers!$B$5:$B$44,0)),"no such ID"))</f>
        <v/>
      </c>
      <c r="D42" s="16"/>
      <c r="E42" s="11"/>
      <c r="F42" s="11"/>
      <c r="G42" s="11"/>
    </row>
    <row r="43" spans="1:7" x14ac:dyDescent="0.3">
      <c r="A43" s="17"/>
      <c r="B43" s="11"/>
      <c r="C43" s="30" t="str">
        <f>IF(B43="","",IFERROR(INDEX(Workers!$C$5:$C$44,MATCH(B43,Workers!$B$5:$B$44,0)),"no such ID"))</f>
        <v/>
      </c>
      <c r="D43" s="16"/>
      <c r="E43" s="11"/>
      <c r="F43" s="11"/>
      <c r="G43" s="11"/>
    </row>
    <row r="44" spans="1:7" x14ac:dyDescent="0.3">
      <c r="A44" s="17"/>
      <c r="B44" s="11"/>
      <c r="C44" s="30" t="str">
        <f>IF(B44="","",IFERROR(INDEX(Workers!$C$5:$C$44,MATCH(B44,Workers!$B$5:$B$44,0)),"no such ID"))</f>
        <v/>
      </c>
      <c r="D44" s="16"/>
      <c r="E44" s="11"/>
      <c r="F44" s="11"/>
      <c r="G44" s="11"/>
    </row>
    <row r="45" spans="1:7" x14ac:dyDescent="0.3">
      <c r="A45" s="17"/>
      <c r="B45" s="11"/>
      <c r="C45" s="30" t="str">
        <f>IF(B45="","",IFERROR(INDEX(Workers!$C$5:$C$44,MATCH(B45,Workers!$B$5:$B$44,0)),"no such ID"))</f>
        <v/>
      </c>
      <c r="D45" s="16"/>
      <c r="E45" s="11"/>
      <c r="F45" s="11"/>
      <c r="G45" s="11"/>
    </row>
    <row r="46" spans="1:7" x14ac:dyDescent="0.3">
      <c r="A46" s="17"/>
      <c r="B46" s="11"/>
      <c r="C46" s="30" t="str">
        <f>IF(B46="","",IFERROR(INDEX(Workers!$C$5:$C$44,MATCH(B46,Workers!$B$5:$B$44,0)),"no such ID"))</f>
        <v/>
      </c>
      <c r="D46" s="16"/>
      <c r="E46" s="11"/>
      <c r="F46" s="11"/>
      <c r="G46" s="11"/>
    </row>
    <row r="47" spans="1:7" x14ac:dyDescent="0.3">
      <c r="A47" s="17"/>
      <c r="B47" s="11"/>
      <c r="C47" s="30" t="str">
        <f>IF(B47="","",IFERROR(INDEX(Workers!$C$5:$C$44,MATCH(B47,Workers!$B$5:$B$44,0)),"no such ID"))</f>
        <v/>
      </c>
      <c r="D47" s="16"/>
      <c r="E47" s="11"/>
      <c r="F47" s="11"/>
      <c r="G47" s="11"/>
    </row>
    <row r="48" spans="1:7" x14ac:dyDescent="0.3">
      <c r="A48" s="17"/>
      <c r="B48" s="11"/>
      <c r="C48" s="30" t="str">
        <f>IF(B48="","",IFERROR(INDEX(Workers!$C$5:$C$44,MATCH(B48,Workers!$B$5:$B$44,0)),"no such ID"))</f>
        <v/>
      </c>
      <c r="D48" s="16"/>
      <c r="E48" s="11"/>
      <c r="F48" s="11"/>
      <c r="G48" s="11"/>
    </row>
    <row r="49" spans="1:7" x14ac:dyDescent="0.3">
      <c r="A49" s="17"/>
      <c r="B49" s="11"/>
      <c r="C49" s="30" t="str">
        <f>IF(B49="","",IFERROR(INDEX(Workers!$C$5:$C$44,MATCH(B49,Workers!$B$5:$B$44,0)),"no such ID"))</f>
        <v/>
      </c>
      <c r="D49" s="16"/>
      <c r="E49" s="11"/>
      <c r="F49" s="11"/>
      <c r="G49" s="11"/>
    </row>
    <row r="50" spans="1:7" x14ac:dyDescent="0.3">
      <c r="A50" s="17"/>
      <c r="B50" s="11"/>
      <c r="C50" s="30" t="str">
        <f>IF(B50="","",IFERROR(INDEX(Workers!$C$5:$C$44,MATCH(B50,Workers!$B$5:$B$44,0)),"no such ID"))</f>
        <v/>
      </c>
      <c r="D50" s="16"/>
      <c r="E50" s="11"/>
      <c r="F50" s="11"/>
      <c r="G50" s="11"/>
    </row>
    <row r="51" spans="1:7" x14ac:dyDescent="0.3">
      <c r="A51" s="17"/>
      <c r="B51" s="11"/>
      <c r="C51" s="30" t="str">
        <f>IF(B51="","",IFERROR(INDEX(Workers!$C$5:$C$44,MATCH(B51,Workers!$B$5:$B$44,0)),"no such ID"))</f>
        <v/>
      </c>
      <c r="D51" s="16"/>
      <c r="E51" s="11"/>
      <c r="F51" s="11"/>
      <c r="G51" s="11"/>
    </row>
    <row r="52" spans="1:7" x14ac:dyDescent="0.3">
      <c r="A52" s="17"/>
      <c r="B52" s="11"/>
      <c r="C52" s="30" t="str">
        <f>IF(B52="","",IFERROR(INDEX(Workers!$C$5:$C$44,MATCH(B52,Workers!$B$5:$B$44,0)),"no such ID"))</f>
        <v/>
      </c>
      <c r="D52" s="16"/>
      <c r="E52" s="11"/>
      <c r="F52" s="11"/>
      <c r="G52" s="11"/>
    </row>
    <row r="53" spans="1:7" x14ac:dyDescent="0.3">
      <c r="A53" s="17"/>
      <c r="B53" s="11"/>
      <c r="C53" s="30" t="str">
        <f>IF(B53="","",IFERROR(INDEX(Workers!$C$5:$C$44,MATCH(B53,Workers!$B$5:$B$44,0)),"no such ID"))</f>
        <v/>
      </c>
      <c r="D53" s="16"/>
      <c r="E53" s="11"/>
      <c r="F53" s="11"/>
      <c r="G53" s="11"/>
    </row>
    <row r="54" spans="1:7" x14ac:dyDescent="0.3">
      <c r="A54" s="17"/>
      <c r="B54" s="11"/>
      <c r="C54" s="30" t="str">
        <f>IF(B54="","",IFERROR(INDEX(Workers!$C$5:$C$44,MATCH(B54,Workers!$B$5:$B$44,0)),"no such ID"))</f>
        <v/>
      </c>
      <c r="D54" s="16"/>
      <c r="E54" s="11"/>
      <c r="F54" s="11"/>
      <c r="G54" s="11"/>
    </row>
    <row r="55" spans="1:7" x14ac:dyDescent="0.3">
      <c r="A55" s="17"/>
      <c r="B55" s="11"/>
      <c r="C55" s="30" t="str">
        <f>IF(B55="","",IFERROR(INDEX(Workers!$C$5:$C$44,MATCH(B55,Workers!$B$5:$B$44,0)),"no such ID"))</f>
        <v/>
      </c>
      <c r="D55" s="16"/>
      <c r="E55" s="11"/>
      <c r="F55" s="11"/>
      <c r="G55" s="11"/>
    </row>
    <row r="56" spans="1:7" x14ac:dyDescent="0.3">
      <c r="A56" s="17"/>
      <c r="B56" s="11"/>
      <c r="C56" s="30" t="str">
        <f>IF(B56="","",IFERROR(INDEX(Workers!$C$5:$C$44,MATCH(B56,Workers!$B$5:$B$44,0)),"no such ID"))</f>
        <v/>
      </c>
      <c r="D56" s="16"/>
      <c r="E56" s="11"/>
      <c r="F56" s="11"/>
      <c r="G56" s="11"/>
    </row>
    <row r="57" spans="1:7" x14ac:dyDescent="0.3">
      <c r="A57" s="17"/>
      <c r="B57" s="11"/>
      <c r="C57" s="30" t="str">
        <f>IF(B57="","",IFERROR(INDEX(Workers!$C$5:$C$44,MATCH(B57,Workers!$B$5:$B$44,0)),"no such ID"))</f>
        <v/>
      </c>
      <c r="D57" s="16"/>
      <c r="E57" s="11"/>
      <c r="F57" s="11"/>
      <c r="G57" s="11"/>
    </row>
    <row r="58" spans="1:7" x14ac:dyDescent="0.3">
      <c r="A58" s="17"/>
      <c r="B58" s="11"/>
      <c r="C58" s="30" t="str">
        <f>IF(B58="","",IFERROR(INDEX(Workers!$C$5:$C$44,MATCH(B58,Workers!$B$5:$B$44,0)),"no such ID"))</f>
        <v/>
      </c>
      <c r="D58" s="16"/>
      <c r="E58" s="11"/>
      <c r="F58" s="11"/>
      <c r="G58" s="11"/>
    </row>
    <row r="59" spans="1:7" x14ac:dyDescent="0.3">
      <c r="A59" s="17"/>
      <c r="B59" s="11"/>
      <c r="C59" s="30" t="str">
        <f>IF(B59="","",IFERROR(INDEX(Workers!$C$5:$C$44,MATCH(B59,Workers!$B$5:$B$44,0)),"no such ID"))</f>
        <v/>
      </c>
      <c r="D59" s="16"/>
      <c r="E59" s="11"/>
      <c r="F59" s="11"/>
      <c r="G59" s="11"/>
    </row>
    <row r="60" spans="1:7" x14ac:dyDescent="0.3">
      <c r="A60" s="17"/>
      <c r="B60" s="11"/>
      <c r="C60" s="30" t="str">
        <f>IF(B60="","",IFERROR(INDEX(Workers!$C$5:$C$44,MATCH(B60,Workers!$B$5:$B$44,0)),"no such ID"))</f>
        <v/>
      </c>
      <c r="D60" s="16"/>
      <c r="E60" s="11"/>
      <c r="F60" s="11"/>
      <c r="G60" s="11"/>
    </row>
    <row r="61" spans="1:7" x14ac:dyDescent="0.3">
      <c r="A61" s="17"/>
      <c r="B61" s="11"/>
      <c r="C61" s="30" t="str">
        <f>IF(B61="","",IFERROR(INDEX(Workers!$C$5:$C$44,MATCH(B61,Workers!$B$5:$B$44,0)),"no such ID"))</f>
        <v/>
      </c>
      <c r="D61" s="16"/>
      <c r="E61" s="11"/>
      <c r="F61" s="11"/>
      <c r="G61" s="11"/>
    </row>
    <row r="62" spans="1:7" x14ac:dyDescent="0.3">
      <c r="A62" s="17"/>
      <c r="B62" s="11"/>
      <c r="C62" s="30" t="str">
        <f>IF(B62="","",IFERROR(INDEX(Workers!$C$5:$C$44,MATCH(B62,Workers!$B$5:$B$44,0)),"no such ID"))</f>
        <v/>
      </c>
      <c r="D62" s="16"/>
      <c r="E62" s="11"/>
      <c r="F62" s="11"/>
      <c r="G62" s="11"/>
    </row>
    <row r="63" spans="1:7" x14ac:dyDescent="0.3">
      <c r="A63" s="17"/>
      <c r="B63" s="11"/>
      <c r="C63" s="30" t="str">
        <f>IF(B63="","",IFERROR(INDEX(Workers!$C$5:$C$44,MATCH(B63,Workers!$B$5:$B$44,0)),"no such ID"))</f>
        <v/>
      </c>
      <c r="D63" s="16"/>
      <c r="E63" s="11"/>
      <c r="F63" s="11"/>
      <c r="G63" s="11"/>
    </row>
    <row r="64" spans="1:7" x14ac:dyDescent="0.3">
      <c r="A64" s="17"/>
      <c r="B64" s="11"/>
      <c r="C64" s="30" t="str">
        <f>IF(B64="","",IFERROR(INDEX(Workers!$C$5:$C$44,MATCH(B64,Workers!$B$5:$B$44,0)),"no such ID"))</f>
        <v/>
      </c>
      <c r="D64" s="16"/>
      <c r="E64" s="11"/>
      <c r="F64" s="11"/>
      <c r="G64" s="11"/>
    </row>
    <row r="65" spans="1:7" x14ac:dyDescent="0.3">
      <c r="A65" s="17"/>
      <c r="B65" s="11"/>
      <c r="C65" s="30" t="str">
        <f>IF(B65="","",IFERROR(INDEX(Workers!$C$5:$C$44,MATCH(B65,Workers!$B$5:$B$44,0)),"no such ID"))</f>
        <v/>
      </c>
      <c r="D65" s="16"/>
      <c r="E65" s="11"/>
      <c r="F65" s="11"/>
      <c r="G65" s="11"/>
    </row>
    <row r="66" spans="1:7" x14ac:dyDescent="0.3">
      <c r="A66" s="17"/>
      <c r="B66" s="11"/>
      <c r="C66" s="30" t="str">
        <f>IF(B66="","",IFERROR(INDEX(Workers!$C$5:$C$44,MATCH(B66,Workers!$B$5:$B$44,0)),"no such ID"))</f>
        <v/>
      </c>
      <c r="D66" s="16"/>
      <c r="E66" s="11"/>
      <c r="F66" s="11"/>
      <c r="G66" s="11"/>
    </row>
    <row r="67" spans="1:7" x14ac:dyDescent="0.3">
      <c r="A67" s="17"/>
      <c r="B67" s="11"/>
      <c r="C67" s="30" t="str">
        <f>IF(B67="","",IFERROR(INDEX(Workers!$C$5:$C$44,MATCH(B67,Workers!$B$5:$B$44,0)),"no such ID"))</f>
        <v/>
      </c>
      <c r="D67" s="16"/>
      <c r="E67" s="11"/>
      <c r="F67" s="11"/>
      <c r="G67" s="11"/>
    </row>
    <row r="68" spans="1:7" x14ac:dyDescent="0.3">
      <c r="A68" s="17"/>
      <c r="B68" s="11"/>
      <c r="C68" s="30" t="str">
        <f>IF(B68="","",IFERROR(INDEX(Workers!$C$5:$C$44,MATCH(B68,Workers!$B$5:$B$44,0)),"no such ID"))</f>
        <v/>
      </c>
      <c r="D68" s="16"/>
      <c r="E68" s="11"/>
      <c r="F68" s="11"/>
      <c r="G68" s="11"/>
    </row>
    <row r="69" spans="1:7" x14ac:dyDescent="0.3">
      <c r="A69" s="17"/>
      <c r="B69" s="11"/>
      <c r="C69" s="30" t="str">
        <f>IF(B69="","",IFERROR(INDEX(Workers!$C$5:$C$44,MATCH(B69,Workers!$B$5:$B$44,0)),"no such ID"))</f>
        <v/>
      </c>
      <c r="D69" s="16"/>
      <c r="E69" s="11"/>
      <c r="F69" s="11"/>
      <c r="G69" s="11"/>
    </row>
    <row r="70" spans="1:7" x14ac:dyDescent="0.3">
      <c r="A70" s="17"/>
      <c r="B70" s="11"/>
      <c r="C70" s="30" t="str">
        <f>IF(B70="","",IFERROR(INDEX(Workers!$C$5:$C$44,MATCH(B70,Workers!$B$5:$B$44,0)),"no such ID"))</f>
        <v/>
      </c>
      <c r="D70" s="16"/>
      <c r="E70" s="11"/>
      <c r="F70" s="11"/>
      <c r="G70" s="11"/>
    </row>
    <row r="71" spans="1:7" x14ac:dyDescent="0.3">
      <c r="A71" s="17"/>
      <c r="B71" s="11"/>
      <c r="C71" s="30" t="str">
        <f>IF(B71="","",IFERROR(INDEX(Workers!$C$5:$C$44,MATCH(B71,Workers!$B$5:$B$44,0)),"no such ID"))</f>
        <v/>
      </c>
      <c r="D71" s="16"/>
      <c r="E71" s="11"/>
      <c r="F71" s="11"/>
      <c r="G71" s="11"/>
    </row>
    <row r="72" spans="1:7" x14ac:dyDescent="0.3">
      <c r="A72" s="17"/>
      <c r="B72" s="11"/>
      <c r="C72" s="30" t="str">
        <f>IF(B72="","",IFERROR(INDEX(Workers!$C$5:$C$44,MATCH(B72,Workers!$B$5:$B$44,0)),"no such ID"))</f>
        <v/>
      </c>
      <c r="D72" s="16"/>
      <c r="E72" s="11"/>
      <c r="F72" s="11"/>
      <c r="G72" s="11"/>
    </row>
    <row r="73" spans="1:7" x14ac:dyDescent="0.3">
      <c r="A73" s="17"/>
      <c r="B73" s="11"/>
      <c r="C73" s="30" t="str">
        <f>IF(B73="","",IFERROR(INDEX(Workers!$C$5:$C$44,MATCH(B73,Workers!$B$5:$B$44,0)),"no such ID"))</f>
        <v/>
      </c>
      <c r="D73" s="16"/>
      <c r="E73" s="11"/>
      <c r="F73" s="11"/>
      <c r="G73" s="11"/>
    </row>
    <row r="74" spans="1:7" x14ac:dyDescent="0.3">
      <c r="A74" s="17"/>
      <c r="B74" s="11"/>
      <c r="C74" s="30" t="str">
        <f>IF(B74="","",IFERROR(INDEX(Workers!$C$5:$C$44,MATCH(B74,Workers!$B$5:$B$44,0)),"no such ID"))</f>
        <v/>
      </c>
      <c r="D74" s="16"/>
      <c r="E74" s="11"/>
      <c r="F74" s="11"/>
      <c r="G74" s="11"/>
    </row>
    <row r="75" spans="1:7" x14ac:dyDescent="0.3">
      <c r="A75" s="17"/>
      <c r="B75" s="11"/>
      <c r="C75" s="30" t="str">
        <f>IF(B75="","",IFERROR(INDEX(Workers!$C$5:$C$44,MATCH(B75,Workers!$B$5:$B$44,0)),"no such ID"))</f>
        <v/>
      </c>
      <c r="D75" s="16"/>
      <c r="E75" s="11"/>
      <c r="F75" s="11"/>
      <c r="G75" s="11"/>
    </row>
    <row r="76" spans="1:7" x14ac:dyDescent="0.3">
      <c r="A76" s="17"/>
      <c r="B76" s="11"/>
      <c r="C76" s="30" t="str">
        <f>IF(B76="","",IFERROR(INDEX(Workers!$C$5:$C$44,MATCH(B76,Workers!$B$5:$B$44,0)),"no such ID"))</f>
        <v/>
      </c>
      <c r="D76" s="16"/>
      <c r="E76" s="11"/>
      <c r="F76" s="11"/>
      <c r="G76" s="11"/>
    </row>
    <row r="77" spans="1:7" x14ac:dyDescent="0.3">
      <c r="A77" s="17"/>
      <c r="B77" s="11"/>
      <c r="C77" s="30" t="str">
        <f>IF(B77="","",IFERROR(INDEX(Workers!$C$5:$C$44,MATCH(B77,Workers!$B$5:$B$44,0)),"no such ID"))</f>
        <v/>
      </c>
      <c r="D77" s="16"/>
      <c r="E77" s="11"/>
      <c r="F77" s="11"/>
      <c r="G77" s="11"/>
    </row>
    <row r="78" spans="1:7" x14ac:dyDescent="0.3">
      <c r="A78" s="17"/>
      <c r="B78" s="11"/>
      <c r="C78" s="30" t="str">
        <f>IF(B78="","",IFERROR(INDEX(Workers!$C$5:$C$44,MATCH(B78,Workers!$B$5:$B$44,0)),"no such ID"))</f>
        <v/>
      </c>
      <c r="D78" s="16"/>
      <c r="E78" s="11"/>
      <c r="F78" s="11"/>
      <c r="G78" s="11"/>
    </row>
    <row r="79" spans="1:7" x14ac:dyDescent="0.3">
      <c r="A79" s="17"/>
      <c r="B79" s="11"/>
      <c r="C79" s="30" t="str">
        <f>IF(B79="","",IFERROR(INDEX(Workers!$C$5:$C$44,MATCH(B79,Workers!$B$5:$B$44,0)),"no such ID"))</f>
        <v/>
      </c>
      <c r="D79" s="16"/>
      <c r="E79" s="11"/>
      <c r="F79" s="11"/>
      <c r="G79" s="11"/>
    </row>
    <row r="80" spans="1:7" x14ac:dyDescent="0.3">
      <c r="A80" s="17"/>
      <c r="B80" s="11"/>
      <c r="C80" s="30" t="str">
        <f>IF(B80="","",IFERROR(INDEX(Workers!$C$5:$C$44,MATCH(B80,Workers!$B$5:$B$44,0)),"no such ID"))</f>
        <v/>
      </c>
      <c r="D80" s="16"/>
      <c r="E80" s="11"/>
      <c r="F80" s="11"/>
      <c r="G80" s="11"/>
    </row>
    <row r="81" spans="1:7" x14ac:dyDescent="0.3">
      <c r="A81" s="17"/>
      <c r="B81" s="11"/>
      <c r="C81" s="30" t="str">
        <f>IF(B81="","",IFERROR(INDEX(Workers!$C$5:$C$44,MATCH(B81,Workers!$B$5:$B$44,0)),"no such ID"))</f>
        <v/>
      </c>
      <c r="D81" s="16"/>
      <c r="E81" s="11"/>
      <c r="F81" s="11"/>
      <c r="G81" s="11"/>
    </row>
    <row r="82" spans="1:7" x14ac:dyDescent="0.3">
      <c r="A82" s="17"/>
      <c r="B82" s="11"/>
      <c r="C82" s="30" t="str">
        <f>IF(B82="","",IFERROR(INDEX(Workers!$C$5:$C$44,MATCH(B82,Workers!$B$5:$B$44,0)),"no such ID"))</f>
        <v/>
      </c>
      <c r="D82" s="16"/>
      <c r="E82" s="11"/>
      <c r="F82" s="11"/>
      <c r="G82" s="11"/>
    </row>
    <row r="83" spans="1:7" x14ac:dyDescent="0.3">
      <c r="A83" s="17"/>
      <c r="B83" s="11"/>
      <c r="C83" s="30" t="str">
        <f>IF(B83="","",IFERROR(INDEX(Workers!$C$5:$C$44,MATCH(B83,Workers!$B$5:$B$44,0)),"no such ID"))</f>
        <v/>
      </c>
      <c r="D83" s="16"/>
      <c r="E83" s="11"/>
      <c r="F83" s="11"/>
      <c r="G83" s="11"/>
    </row>
    <row r="84" spans="1:7" x14ac:dyDescent="0.3">
      <c r="A84" s="17"/>
      <c r="B84" s="11"/>
      <c r="C84" s="30" t="str">
        <f>IF(B84="","",IFERROR(INDEX(Workers!$C$5:$C$44,MATCH(B84,Workers!$B$5:$B$44,0)),"no such ID"))</f>
        <v/>
      </c>
      <c r="D84" s="16"/>
      <c r="E84" s="11"/>
      <c r="F84" s="11"/>
      <c r="G84" s="11"/>
    </row>
    <row r="85" spans="1:7" x14ac:dyDescent="0.3">
      <c r="A85" s="17"/>
      <c r="B85" s="11"/>
      <c r="C85" s="30" t="str">
        <f>IF(B85="","",IFERROR(INDEX(Workers!$C$5:$C$44,MATCH(B85,Workers!$B$5:$B$44,0)),"no such ID"))</f>
        <v/>
      </c>
      <c r="D85" s="16"/>
      <c r="E85" s="11"/>
      <c r="F85" s="11"/>
      <c r="G85" s="11"/>
    </row>
    <row r="86" spans="1:7" x14ac:dyDescent="0.3">
      <c r="A86" s="17"/>
      <c r="B86" s="11"/>
      <c r="C86" s="30" t="str">
        <f>IF(B86="","",IFERROR(INDEX(Workers!$C$5:$C$44,MATCH(B86,Workers!$B$5:$B$44,0)),"no such ID"))</f>
        <v/>
      </c>
      <c r="D86" s="16"/>
      <c r="E86" s="11"/>
      <c r="F86" s="11"/>
      <c r="G86" s="11"/>
    </row>
    <row r="87" spans="1:7" x14ac:dyDescent="0.3">
      <c r="A87" s="17"/>
      <c r="B87" s="11"/>
      <c r="C87" s="30" t="str">
        <f>IF(B87="","",IFERROR(INDEX(Workers!$C$5:$C$44,MATCH(B87,Workers!$B$5:$B$44,0)),"no such ID"))</f>
        <v/>
      </c>
      <c r="D87" s="16"/>
      <c r="E87" s="11"/>
      <c r="F87" s="11"/>
      <c r="G87" s="11"/>
    </row>
    <row r="88" spans="1:7" x14ac:dyDescent="0.3">
      <c r="A88" s="17"/>
      <c r="B88" s="11"/>
      <c r="C88" s="30" t="str">
        <f>IF(B88="","",IFERROR(INDEX(Workers!$C$5:$C$44,MATCH(B88,Workers!$B$5:$B$44,0)),"no such ID"))</f>
        <v/>
      </c>
      <c r="D88" s="16"/>
      <c r="E88" s="11"/>
      <c r="F88" s="11"/>
      <c r="G88" s="11"/>
    </row>
    <row r="89" spans="1:7" x14ac:dyDescent="0.3">
      <c r="A89" s="17"/>
      <c r="B89" s="11"/>
      <c r="C89" s="30" t="str">
        <f>IF(B89="","",IFERROR(INDEX(Workers!$C$5:$C$44,MATCH(B89,Workers!$B$5:$B$44,0)),"no such ID"))</f>
        <v/>
      </c>
      <c r="D89" s="16"/>
      <c r="E89" s="11"/>
      <c r="F89" s="11"/>
      <c r="G89" s="11"/>
    </row>
    <row r="90" spans="1:7" x14ac:dyDescent="0.3">
      <c r="A90" s="17"/>
      <c r="B90" s="11"/>
      <c r="C90" s="30" t="str">
        <f>IF(B90="","",IFERROR(INDEX(Workers!$C$5:$C$44,MATCH(B90,Workers!$B$5:$B$44,0)),"no such ID"))</f>
        <v/>
      </c>
      <c r="D90" s="16"/>
      <c r="E90" s="11"/>
      <c r="F90" s="11"/>
      <c r="G90" s="11"/>
    </row>
    <row r="91" spans="1:7" x14ac:dyDescent="0.3">
      <c r="A91" s="17"/>
      <c r="B91" s="11"/>
      <c r="C91" s="30" t="str">
        <f>IF(B91="","",IFERROR(INDEX(Workers!$C$5:$C$44,MATCH(B91,Workers!$B$5:$B$44,0)),"no such ID"))</f>
        <v/>
      </c>
      <c r="D91" s="16"/>
      <c r="E91" s="11"/>
      <c r="F91" s="11"/>
      <c r="G91" s="11"/>
    </row>
    <row r="92" spans="1:7" x14ac:dyDescent="0.3">
      <c r="A92" s="17"/>
      <c r="B92" s="11"/>
      <c r="C92" s="30" t="str">
        <f>IF(B92="","",IFERROR(INDEX(Workers!$C$5:$C$44,MATCH(B92,Workers!$B$5:$B$44,0)),"no such ID"))</f>
        <v/>
      </c>
      <c r="D92" s="16"/>
      <c r="E92" s="11"/>
      <c r="F92" s="11"/>
      <c r="G92" s="11"/>
    </row>
    <row r="93" spans="1:7" x14ac:dyDescent="0.3">
      <c r="A93" s="17"/>
      <c r="B93" s="11"/>
      <c r="C93" s="30" t="str">
        <f>IF(B93="","",IFERROR(INDEX(Workers!$C$5:$C$44,MATCH(B93,Workers!$B$5:$B$44,0)),"no such ID"))</f>
        <v/>
      </c>
      <c r="D93" s="16"/>
      <c r="E93" s="11"/>
      <c r="F93" s="11"/>
      <c r="G93" s="11"/>
    </row>
    <row r="94" spans="1:7" x14ac:dyDescent="0.3">
      <c r="A94" s="17"/>
      <c r="B94" s="11"/>
      <c r="C94" s="30" t="str">
        <f>IF(B94="","",IFERROR(INDEX(Workers!$C$5:$C$44,MATCH(B94,Workers!$B$5:$B$44,0)),"no such ID"))</f>
        <v/>
      </c>
      <c r="D94" s="16"/>
      <c r="E94" s="11"/>
      <c r="F94" s="11"/>
      <c r="G94" s="11"/>
    </row>
    <row r="95" spans="1:7" x14ac:dyDescent="0.3">
      <c r="A95" s="17"/>
      <c r="B95" s="11"/>
      <c r="C95" s="30" t="str">
        <f>IF(B95="","",IFERROR(INDEX(Workers!$C$5:$C$44,MATCH(B95,Workers!$B$5:$B$44,0)),"no such ID"))</f>
        <v/>
      </c>
      <c r="D95" s="16"/>
      <c r="E95" s="11"/>
      <c r="F95" s="11"/>
      <c r="G95" s="11"/>
    </row>
    <row r="96" spans="1:7" x14ac:dyDescent="0.3">
      <c r="A96" s="17"/>
      <c r="B96" s="11"/>
      <c r="C96" s="30" t="str">
        <f>IF(B96="","",IFERROR(INDEX(Workers!$C$5:$C$44,MATCH(B96,Workers!$B$5:$B$44,0)),"no such ID"))</f>
        <v/>
      </c>
      <c r="D96" s="16"/>
      <c r="E96" s="11"/>
      <c r="F96" s="11"/>
      <c r="G96" s="11"/>
    </row>
    <row r="97" spans="1:7" x14ac:dyDescent="0.3">
      <c r="A97" s="17"/>
      <c r="B97" s="11"/>
      <c r="C97" s="30" t="str">
        <f>IF(B97="","",IFERROR(INDEX(Workers!$C$5:$C$44,MATCH(B97,Workers!$B$5:$B$44,0)),"no such ID"))</f>
        <v/>
      </c>
      <c r="D97" s="16"/>
      <c r="E97" s="11"/>
      <c r="F97" s="11"/>
      <c r="G97" s="11"/>
    </row>
    <row r="98" spans="1:7" x14ac:dyDescent="0.3">
      <c r="A98" s="17"/>
      <c r="B98" s="11"/>
      <c r="C98" s="30" t="str">
        <f>IF(B98="","",IFERROR(INDEX(Workers!$C$5:$C$44,MATCH(B98,Workers!$B$5:$B$44,0)),"no such ID"))</f>
        <v/>
      </c>
      <c r="D98" s="16"/>
      <c r="E98" s="11"/>
      <c r="F98" s="11"/>
      <c r="G98" s="11"/>
    </row>
    <row r="99" spans="1:7" x14ac:dyDescent="0.3">
      <c r="A99" s="17"/>
      <c r="B99" s="11"/>
      <c r="C99" s="30" t="str">
        <f>IF(B99="","",IFERROR(INDEX(Workers!$C$5:$C$44,MATCH(B99,Workers!$B$5:$B$44,0)),"no such ID"))</f>
        <v/>
      </c>
      <c r="D99" s="16"/>
      <c r="E99" s="11"/>
      <c r="F99" s="11"/>
      <c r="G99" s="11"/>
    </row>
    <row r="100" spans="1:7" x14ac:dyDescent="0.3">
      <c r="A100" s="17"/>
      <c r="B100" s="11"/>
      <c r="C100" s="30" t="str">
        <f>IF(B100="","",IFERROR(INDEX(Workers!$C$5:$C$44,MATCH(B100,Workers!$B$5:$B$44,0)),"no such ID"))</f>
        <v/>
      </c>
      <c r="D100" s="16"/>
      <c r="E100" s="11"/>
      <c r="F100" s="11"/>
      <c r="G100" s="11"/>
    </row>
    <row r="101" spans="1:7" x14ac:dyDescent="0.3">
      <c r="A101" s="17"/>
      <c r="B101" s="11"/>
      <c r="C101" s="30" t="str">
        <f>IF(B101="","",IFERROR(INDEX(Workers!$C$5:$C$44,MATCH(B101,Workers!$B$5:$B$44,0)),"no such ID"))</f>
        <v/>
      </c>
      <c r="D101" s="16"/>
      <c r="E101" s="11"/>
      <c r="F101" s="11"/>
      <c r="G101" s="11"/>
    </row>
    <row r="102" spans="1:7" x14ac:dyDescent="0.3">
      <c r="A102" s="17"/>
      <c r="B102" s="11"/>
      <c r="C102" s="30" t="str">
        <f>IF(B102="","",IFERROR(INDEX(Workers!$C$5:$C$44,MATCH(B102,Workers!$B$5:$B$44,0)),"no such ID"))</f>
        <v/>
      </c>
      <c r="D102" s="16"/>
      <c r="E102" s="11"/>
      <c r="F102" s="11"/>
      <c r="G102" s="11"/>
    </row>
    <row r="103" spans="1:7" x14ac:dyDescent="0.3">
      <c r="A103" s="17"/>
      <c r="B103" s="11"/>
      <c r="C103" s="30" t="str">
        <f>IF(B103="","",IFERROR(INDEX(Workers!$C$5:$C$44,MATCH(B103,Workers!$B$5:$B$44,0)),"no such ID"))</f>
        <v/>
      </c>
      <c r="D103" s="16"/>
      <c r="E103" s="11"/>
      <c r="F103" s="11"/>
      <c r="G103" s="11"/>
    </row>
    <row r="104" spans="1:7" x14ac:dyDescent="0.3">
      <c r="A104" s="17"/>
      <c r="B104" s="11"/>
      <c r="C104" s="30" t="str">
        <f>IF(B104="","",IFERROR(INDEX(Workers!$C$5:$C$44,MATCH(B104,Workers!$B$5:$B$44,0)),"no such ID"))</f>
        <v/>
      </c>
      <c r="D104" s="16"/>
      <c r="E104" s="11"/>
      <c r="F104" s="11"/>
      <c r="G104" s="11"/>
    </row>
    <row r="105" spans="1:7" x14ac:dyDescent="0.3">
      <c r="A105" s="17"/>
      <c r="B105" s="11"/>
      <c r="C105" s="30" t="str">
        <f>IF(B105="","",IFERROR(INDEX(Workers!$C$5:$C$44,MATCH(B105,Workers!$B$5:$B$44,0)),"no such ID"))</f>
        <v/>
      </c>
      <c r="D105" s="16"/>
      <c r="E105" s="11"/>
      <c r="F105" s="11"/>
      <c r="G105" s="11"/>
    </row>
    <row r="106" spans="1:7" x14ac:dyDescent="0.3">
      <c r="A106" s="17"/>
      <c r="B106" s="11"/>
      <c r="C106" s="30" t="str">
        <f>IF(B106="","",IFERROR(INDEX(Workers!$C$5:$C$44,MATCH(B106,Workers!$B$5:$B$44,0)),"no such ID"))</f>
        <v/>
      </c>
      <c r="D106" s="16"/>
      <c r="E106" s="11"/>
      <c r="F106" s="11"/>
      <c r="G106" s="11"/>
    </row>
    <row r="107" spans="1:7" x14ac:dyDescent="0.3">
      <c r="A107" s="17"/>
      <c r="B107" s="11"/>
      <c r="C107" s="30" t="str">
        <f>IF(B107="","",IFERROR(INDEX(Workers!$C$5:$C$44,MATCH(B107,Workers!$B$5:$B$44,0)),"no such ID"))</f>
        <v/>
      </c>
      <c r="D107" s="16"/>
      <c r="E107" s="11"/>
      <c r="F107" s="11"/>
      <c r="G107" s="11"/>
    </row>
    <row r="108" spans="1:7" x14ac:dyDescent="0.3">
      <c r="A108" s="17"/>
      <c r="B108" s="11"/>
      <c r="C108" s="30" t="str">
        <f>IF(B108="","",IFERROR(INDEX(Workers!$C$5:$C$44,MATCH(B108,Workers!$B$5:$B$44,0)),"no such ID"))</f>
        <v/>
      </c>
      <c r="D108" s="16"/>
      <c r="E108" s="11"/>
      <c r="F108" s="11"/>
      <c r="G108" s="11"/>
    </row>
    <row r="109" spans="1:7" x14ac:dyDescent="0.3">
      <c r="A109" s="17"/>
      <c r="B109" s="11"/>
      <c r="C109" s="30" t="str">
        <f>IF(B109="","",IFERROR(INDEX(Workers!$C$5:$C$44,MATCH(B109,Workers!$B$5:$B$44,0)),"no such ID"))</f>
        <v/>
      </c>
      <c r="D109" s="16"/>
      <c r="E109" s="11"/>
      <c r="F109" s="11"/>
      <c r="G109" s="11"/>
    </row>
    <row r="110" spans="1:7" x14ac:dyDescent="0.3">
      <c r="A110" s="17"/>
      <c r="B110" s="11"/>
      <c r="C110" s="30" t="str">
        <f>IF(B110="","",IFERROR(INDEX(Workers!$C$5:$C$44,MATCH(B110,Workers!$B$5:$B$44,0)),"no such ID"))</f>
        <v/>
      </c>
      <c r="D110" s="16"/>
      <c r="E110" s="11"/>
      <c r="F110" s="11"/>
      <c r="G110" s="11"/>
    </row>
    <row r="111" spans="1:7" x14ac:dyDescent="0.3">
      <c r="A111" s="17"/>
      <c r="B111" s="11"/>
      <c r="C111" s="30" t="str">
        <f>IF(B111="","",IFERROR(INDEX(Workers!$C$5:$C$44,MATCH(B111,Workers!$B$5:$B$44,0)),"no such ID"))</f>
        <v/>
      </c>
      <c r="D111" s="16"/>
      <c r="E111" s="11"/>
      <c r="F111" s="11"/>
      <c r="G111" s="11"/>
    </row>
    <row r="112" spans="1:7" x14ac:dyDescent="0.3">
      <c r="A112" s="17"/>
      <c r="B112" s="11"/>
      <c r="C112" s="30" t="str">
        <f>IF(B112="","",IFERROR(INDEX(Workers!$C$5:$C$44,MATCH(B112,Workers!$B$5:$B$44,0)),"no such ID"))</f>
        <v/>
      </c>
      <c r="D112" s="16"/>
      <c r="E112" s="11"/>
      <c r="F112" s="11"/>
      <c r="G112" s="11"/>
    </row>
    <row r="113" spans="1:7" x14ac:dyDescent="0.3">
      <c r="A113" s="17"/>
      <c r="B113" s="11"/>
      <c r="C113" s="30" t="str">
        <f>IF(B113="","",IFERROR(INDEX(Workers!$C$5:$C$44,MATCH(B113,Workers!$B$5:$B$44,0)),"no such ID"))</f>
        <v/>
      </c>
      <c r="D113" s="16"/>
      <c r="E113" s="11"/>
      <c r="F113" s="11"/>
      <c r="G113" s="11"/>
    </row>
    <row r="114" spans="1:7" x14ac:dyDescent="0.3">
      <c r="A114" s="17"/>
      <c r="B114" s="11"/>
      <c r="C114" s="30" t="str">
        <f>IF(B114="","",IFERROR(INDEX(Workers!$C$5:$C$44,MATCH(B114,Workers!$B$5:$B$44,0)),"no such ID"))</f>
        <v/>
      </c>
      <c r="D114" s="16"/>
      <c r="E114" s="11"/>
      <c r="F114" s="11"/>
      <c r="G114" s="11"/>
    </row>
    <row r="115" spans="1:7" x14ac:dyDescent="0.3">
      <c r="A115" s="17"/>
      <c r="B115" s="11"/>
      <c r="C115" s="30" t="str">
        <f>IF(B115="","",IFERROR(INDEX(Workers!$C$5:$C$44,MATCH(B115,Workers!$B$5:$B$44,0)),"no such ID"))</f>
        <v/>
      </c>
      <c r="D115" s="16"/>
      <c r="E115" s="11"/>
      <c r="F115" s="11"/>
      <c r="G115" s="11"/>
    </row>
    <row r="116" spans="1:7" x14ac:dyDescent="0.3">
      <c r="A116" s="17"/>
      <c r="B116" s="11"/>
      <c r="C116" s="30" t="str">
        <f>IF(B116="","",IFERROR(INDEX(Workers!$C$5:$C$44,MATCH(B116,Workers!$B$5:$B$44,0)),"no such ID"))</f>
        <v/>
      </c>
      <c r="D116" s="16"/>
      <c r="E116" s="11"/>
      <c r="F116" s="11"/>
      <c r="G116" s="11"/>
    </row>
    <row r="117" spans="1:7" x14ac:dyDescent="0.3">
      <c r="A117" s="17"/>
      <c r="B117" s="11"/>
      <c r="C117" s="30" t="str">
        <f>IF(B117="","",IFERROR(INDEX(Workers!$C$5:$C$44,MATCH(B117,Workers!$B$5:$B$44,0)),"no such ID"))</f>
        <v/>
      </c>
      <c r="D117" s="16"/>
      <c r="E117" s="11"/>
      <c r="F117" s="11"/>
      <c r="G117" s="11"/>
    </row>
    <row r="118" spans="1:7" x14ac:dyDescent="0.3">
      <c r="A118" s="17"/>
      <c r="B118" s="11"/>
      <c r="C118" s="30" t="str">
        <f>IF(B118="","",IFERROR(INDEX(Workers!$C$5:$C$44,MATCH(B118,Workers!$B$5:$B$44,0)),"no such ID"))</f>
        <v/>
      </c>
      <c r="D118" s="16"/>
      <c r="E118" s="11"/>
      <c r="F118" s="11"/>
      <c r="G118" s="11"/>
    </row>
    <row r="119" spans="1:7" x14ac:dyDescent="0.3">
      <c r="A119" s="17"/>
      <c r="B119" s="11"/>
      <c r="C119" s="30" t="str">
        <f>IF(B119="","",IFERROR(INDEX(Workers!$C$5:$C$44,MATCH(B119,Workers!$B$5:$B$44,0)),"no such ID"))</f>
        <v/>
      </c>
      <c r="D119" s="16"/>
      <c r="E119" s="11"/>
      <c r="F119" s="11"/>
      <c r="G119" s="11"/>
    </row>
    <row r="120" spans="1:7" x14ac:dyDescent="0.3">
      <c r="A120" s="17"/>
      <c r="B120" s="11"/>
      <c r="C120" s="30" t="str">
        <f>IF(B120="","",IFERROR(INDEX(Workers!$C$5:$C$44,MATCH(B120,Workers!$B$5:$B$44,0)),"no such ID"))</f>
        <v/>
      </c>
      <c r="D120" s="16"/>
      <c r="E120" s="11"/>
      <c r="F120" s="11"/>
      <c r="G120" s="11"/>
    </row>
    <row r="121" spans="1:7" x14ac:dyDescent="0.3">
      <c r="A121" s="17"/>
      <c r="B121" s="11"/>
      <c r="C121" s="30" t="str">
        <f>IF(B121="","",IFERROR(INDEX(Workers!$C$5:$C$44,MATCH(B121,Workers!$B$5:$B$44,0)),"no such ID"))</f>
        <v/>
      </c>
      <c r="D121" s="16"/>
      <c r="E121" s="11"/>
      <c r="F121" s="11"/>
      <c r="G121" s="11"/>
    </row>
    <row r="122" spans="1:7" x14ac:dyDescent="0.3">
      <c r="A122" s="17"/>
      <c r="B122" s="11"/>
      <c r="C122" s="30" t="str">
        <f>IF(B122="","",IFERROR(INDEX(Workers!$C$5:$C$44,MATCH(B122,Workers!$B$5:$B$44,0)),"no such ID"))</f>
        <v/>
      </c>
      <c r="D122" s="16"/>
      <c r="E122" s="11"/>
      <c r="F122" s="11"/>
      <c r="G122" s="11"/>
    </row>
    <row r="123" spans="1:7" x14ac:dyDescent="0.3">
      <c r="A123" s="17"/>
      <c r="B123" s="11"/>
      <c r="C123" s="30" t="str">
        <f>IF(B123="","",IFERROR(INDEX(Workers!$C$5:$C$44,MATCH(B123,Workers!$B$5:$B$44,0)),"no such ID"))</f>
        <v/>
      </c>
      <c r="D123" s="16"/>
      <c r="E123" s="11"/>
      <c r="F123" s="11"/>
      <c r="G123" s="11"/>
    </row>
    <row r="124" spans="1:7" x14ac:dyDescent="0.3">
      <c r="A124" s="17"/>
      <c r="B124" s="11"/>
      <c r="C124" s="30" t="str">
        <f>IF(B124="","",IFERROR(INDEX(Workers!$C$5:$C$44,MATCH(B124,Workers!$B$5:$B$44,0)),"no such ID"))</f>
        <v/>
      </c>
      <c r="D124" s="16"/>
      <c r="E124" s="11"/>
      <c r="F124" s="11"/>
      <c r="G124" s="11"/>
    </row>
    <row r="125" spans="1:7" x14ac:dyDescent="0.3">
      <c r="A125" s="17"/>
      <c r="B125" s="11"/>
      <c r="C125" s="30" t="str">
        <f>IF(B125="","",IFERROR(INDEX(Workers!$C$5:$C$44,MATCH(B125,Workers!$B$5:$B$44,0)),"no such ID"))</f>
        <v/>
      </c>
      <c r="D125" s="16"/>
      <c r="E125" s="11"/>
      <c r="F125" s="11"/>
      <c r="G125" s="11"/>
    </row>
    <row r="126" spans="1:7" x14ac:dyDescent="0.3">
      <c r="A126" s="17"/>
      <c r="B126" s="11"/>
      <c r="C126" s="30" t="str">
        <f>IF(B126="","",IFERROR(INDEX(Workers!$C$5:$C$44,MATCH(B126,Workers!$B$5:$B$44,0)),"no such ID"))</f>
        <v/>
      </c>
      <c r="D126" s="16"/>
      <c r="E126" s="11"/>
      <c r="F126" s="11"/>
      <c r="G126" s="11"/>
    </row>
    <row r="127" spans="1:7" x14ac:dyDescent="0.3">
      <c r="A127" s="17"/>
      <c r="B127" s="11"/>
      <c r="C127" s="30" t="str">
        <f>IF(B127="","",IFERROR(INDEX(Workers!$C$5:$C$44,MATCH(B127,Workers!$B$5:$B$44,0)),"no such ID"))</f>
        <v/>
      </c>
      <c r="D127" s="16"/>
      <c r="E127" s="11"/>
      <c r="F127" s="11"/>
      <c r="G127" s="11"/>
    </row>
    <row r="128" spans="1:7" x14ac:dyDescent="0.3">
      <c r="A128" s="17"/>
      <c r="B128" s="11"/>
      <c r="C128" s="30" t="str">
        <f>IF(B128="","",IFERROR(INDEX(Workers!$C$5:$C$44,MATCH(B128,Workers!$B$5:$B$44,0)),"no such ID"))</f>
        <v/>
      </c>
      <c r="D128" s="16"/>
      <c r="E128" s="11"/>
      <c r="F128" s="11"/>
      <c r="G128" s="11"/>
    </row>
    <row r="129" spans="1:7" x14ac:dyDescent="0.3">
      <c r="A129" s="17"/>
      <c r="B129" s="11"/>
      <c r="C129" s="30" t="str">
        <f>IF(B129="","",IFERROR(INDEX(Workers!$C$5:$C$44,MATCH(B129,Workers!$B$5:$B$44,0)),"no such ID"))</f>
        <v/>
      </c>
      <c r="D129" s="16"/>
      <c r="E129" s="11"/>
      <c r="F129" s="11"/>
      <c r="G129" s="11"/>
    </row>
    <row r="130" spans="1:7" x14ac:dyDescent="0.3">
      <c r="A130" s="17"/>
      <c r="B130" s="11"/>
      <c r="C130" s="30" t="str">
        <f>IF(B130="","",IFERROR(INDEX(Workers!$C$5:$C$44,MATCH(B130,Workers!$B$5:$B$44,0)),"no such ID"))</f>
        <v/>
      </c>
      <c r="D130" s="16"/>
      <c r="E130" s="11"/>
      <c r="F130" s="11"/>
      <c r="G130" s="11"/>
    </row>
    <row r="131" spans="1:7" x14ac:dyDescent="0.3">
      <c r="A131" s="17"/>
      <c r="B131" s="11"/>
      <c r="C131" s="30" t="str">
        <f>IF(B131="","",IFERROR(INDEX(Workers!$C$5:$C$44,MATCH(B131,Workers!$B$5:$B$44,0)),"no such ID"))</f>
        <v/>
      </c>
      <c r="D131" s="16"/>
      <c r="E131" s="11"/>
      <c r="F131" s="11"/>
      <c r="G131" s="11"/>
    </row>
    <row r="132" spans="1:7" x14ac:dyDescent="0.3">
      <c r="A132" s="17"/>
      <c r="B132" s="11"/>
      <c r="C132" s="30" t="str">
        <f>IF(B132="","",IFERROR(INDEX(Workers!$C$5:$C$44,MATCH(B132,Workers!$B$5:$B$44,0)),"no such ID"))</f>
        <v/>
      </c>
      <c r="D132" s="16"/>
      <c r="E132" s="11"/>
      <c r="F132" s="11"/>
      <c r="G132" s="11"/>
    </row>
    <row r="133" spans="1:7" x14ac:dyDescent="0.3">
      <c r="A133" s="17"/>
      <c r="B133" s="11"/>
      <c r="C133" s="30" t="str">
        <f>IF(B133="","",IFERROR(INDEX(Workers!$C$5:$C$44,MATCH(B133,Workers!$B$5:$B$44,0)),"no such ID"))</f>
        <v/>
      </c>
      <c r="D133" s="16"/>
      <c r="E133" s="11"/>
      <c r="F133" s="11"/>
      <c r="G133" s="11"/>
    </row>
    <row r="134" spans="1:7" x14ac:dyDescent="0.3">
      <c r="A134" s="17"/>
      <c r="B134" s="11"/>
      <c r="C134" s="30" t="str">
        <f>IF(B134="","",IFERROR(INDEX(Workers!$C$5:$C$44,MATCH(B134,Workers!$B$5:$B$44,0)),"no such ID"))</f>
        <v/>
      </c>
      <c r="D134" s="16"/>
      <c r="E134" s="11"/>
      <c r="F134" s="11"/>
      <c r="G134" s="11"/>
    </row>
    <row r="135" spans="1:7" x14ac:dyDescent="0.3">
      <c r="A135" s="17"/>
      <c r="B135" s="11"/>
      <c r="C135" s="30" t="str">
        <f>IF(B135="","",IFERROR(INDEX(Workers!$C$5:$C$44,MATCH(B135,Workers!$B$5:$B$44,0)),"no such ID"))</f>
        <v/>
      </c>
      <c r="D135" s="16"/>
      <c r="E135" s="11"/>
      <c r="F135" s="11"/>
      <c r="G135" s="11"/>
    </row>
    <row r="136" spans="1:7" x14ac:dyDescent="0.3">
      <c r="A136" s="17"/>
      <c r="B136" s="11"/>
      <c r="C136" s="30" t="str">
        <f>IF(B136="","",IFERROR(INDEX(Workers!$C$5:$C$44,MATCH(B136,Workers!$B$5:$B$44,0)),"no such ID"))</f>
        <v/>
      </c>
      <c r="D136" s="16"/>
      <c r="E136" s="11"/>
      <c r="F136" s="11"/>
      <c r="G136" s="11"/>
    </row>
    <row r="137" spans="1:7" x14ac:dyDescent="0.3">
      <c r="A137" s="17"/>
      <c r="B137" s="11"/>
      <c r="C137" s="30" t="str">
        <f>IF(B137="","",IFERROR(INDEX(Workers!$C$5:$C$44,MATCH(B137,Workers!$B$5:$B$44,0)),"no such ID"))</f>
        <v/>
      </c>
      <c r="D137" s="16"/>
      <c r="E137" s="11"/>
      <c r="F137" s="11"/>
      <c r="G137" s="11"/>
    </row>
    <row r="138" spans="1:7" x14ac:dyDescent="0.3">
      <c r="A138" s="17"/>
      <c r="B138" s="11"/>
      <c r="C138" s="30" t="str">
        <f>IF(B138="","",IFERROR(INDEX(Workers!$C$5:$C$44,MATCH(B138,Workers!$B$5:$B$44,0)),"no such ID"))</f>
        <v/>
      </c>
      <c r="D138" s="16"/>
      <c r="E138" s="11"/>
      <c r="F138" s="11"/>
      <c r="G138" s="11"/>
    </row>
    <row r="139" spans="1:7" x14ac:dyDescent="0.3">
      <c r="A139" s="17"/>
      <c r="B139" s="11"/>
      <c r="C139" s="30" t="str">
        <f>IF(B139="","",IFERROR(INDEX(Workers!$C$5:$C$44,MATCH(B139,Workers!$B$5:$B$44,0)),"no such ID"))</f>
        <v/>
      </c>
      <c r="D139" s="16"/>
      <c r="E139" s="11"/>
      <c r="F139" s="11"/>
      <c r="G139" s="11"/>
    </row>
    <row r="140" spans="1:7" x14ac:dyDescent="0.3">
      <c r="A140" s="17"/>
      <c r="B140" s="11"/>
      <c r="C140" s="30" t="str">
        <f>IF(B140="","",IFERROR(INDEX(Workers!$C$5:$C$44,MATCH(B140,Workers!$B$5:$B$44,0)),"no such ID"))</f>
        <v/>
      </c>
      <c r="D140" s="16"/>
      <c r="E140" s="11"/>
      <c r="F140" s="11"/>
      <c r="G140" s="11"/>
    </row>
    <row r="141" spans="1:7" x14ac:dyDescent="0.3">
      <c r="A141" s="17"/>
      <c r="B141" s="11"/>
      <c r="C141" s="30" t="str">
        <f>IF(B141="","",IFERROR(INDEX(Workers!$C$5:$C$44,MATCH(B141,Workers!$B$5:$B$44,0)),"no such ID"))</f>
        <v/>
      </c>
      <c r="D141" s="16"/>
      <c r="E141" s="11"/>
      <c r="F141" s="11"/>
      <c r="G141" s="11"/>
    </row>
    <row r="142" spans="1:7" x14ac:dyDescent="0.3">
      <c r="A142" s="17"/>
      <c r="B142" s="11"/>
      <c r="C142" s="30" t="str">
        <f>IF(B142="","",IFERROR(INDEX(Workers!$C$5:$C$44,MATCH(B142,Workers!$B$5:$B$44,0)),"no such ID"))</f>
        <v/>
      </c>
      <c r="D142" s="16"/>
      <c r="E142" s="11"/>
      <c r="F142" s="11"/>
      <c r="G142" s="11"/>
    </row>
    <row r="143" spans="1:7" x14ac:dyDescent="0.3">
      <c r="A143" s="17"/>
      <c r="B143" s="11"/>
      <c r="C143" s="30" t="str">
        <f>IF(B143="","",IFERROR(INDEX(Workers!$C$5:$C$44,MATCH(B143,Workers!$B$5:$B$44,0)),"no such ID"))</f>
        <v/>
      </c>
      <c r="D143" s="16"/>
      <c r="E143" s="11"/>
      <c r="F143" s="11"/>
      <c r="G143" s="11"/>
    </row>
    <row r="144" spans="1:7" x14ac:dyDescent="0.3">
      <c r="A144" s="17"/>
      <c r="B144" s="11"/>
      <c r="C144" s="30" t="str">
        <f>IF(B144="","",IFERROR(INDEX(Workers!$C$5:$C$44,MATCH(B144,Workers!$B$5:$B$44,0)),"no such ID"))</f>
        <v/>
      </c>
      <c r="D144" s="16"/>
      <c r="E144" s="11"/>
      <c r="F144" s="11"/>
      <c r="G144" s="11"/>
    </row>
    <row r="145" spans="1:7" x14ac:dyDescent="0.3">
      <c r="A145" s="17"/>
      <c r="B145" s="11"/>
      <c r="C145" s="30" t="str">
        <f>IF(B145="","",IFERROR(INDEX(Workers!$C$5:$C$44,MATCH(B145,Workers!$B$5:$B$44,0)),"no such ID"))</f>
        <v/>
      </c>
      <c r="D145" s="16"/>
      <c r="E145" s="11"/>
      <c r="F145" s="11"/>
      <c r="G145" s="11"/>
    </row>
    <row r="146" spans="1:7" x14ac:dyDescent="0.3">
      <c r="A146" s="17"/>
      <c r="B146" s="11"/>
      <c r="C146" s="30" t="str">
        <f>IF(B146="","",IFERROR(INDEX(Workers!$C$5:$C$44,MATCH(B146,Workers!$B$5:$B$44,0)),"no such ID"))</f>
        <v/>
      </c>
      <c r="D146" s="16"/>
      <c r="E146" s="11"/>
      <c r="F146" s="11"/>
      <c r="G146" s="11"/>
    </row>
    <row r="147" spans="1:7" x14ac:dyDescent="0.3">
      <c r="A147" s="17"/>
      <c r="B147" s="11"/>
      <c r="C147" s="30" t="str">
        <f>IF(B147="","",IFERROR(INDEX(Workers!$C$5:$C$44,MATCH(B147,Workers!$B$5:$B$44,0)),"no such ID"))</f>
        <v/>
      </c>
      <c r="D147" s="16"/>
      <c r="E147" s="11"/>
      <c r="F147" s="11"/>
      <c r="G147" s="11"/>
    </row>
    <row r="148" spans="1:7" x14ac:dyDescent="0.3">
      <c r="A148" s="17"/>
      <c r="B148" s="11"/>
      <c r="C148" s="30" t="str">
        <f>IF(B148="","",IFERROR(INDEX(Workers!$C$5:$C$44,MATCH(B148,Workers!$B$5:$B$44,0)),"no such ID"))</f>
        <v/>
      </c>
      <c r="D148" s="16"/>
      <c r="E148" s="11"/>
      <c r="F148" s="11"/>
      <c r="G148" s="11"/>
    </row>
    <row r="149" spans="1:7" x14ac:dyDescent="0.3">
      <c r="A149" s="17"/>
      <c r="B149" s="11"/>
      <c r="C149" s="30" t="str">
        <f>IF(B149="","",IFERROR(INDEX(Workers!$C$5:$C$44,MATCH(B149,Workers!$B$5:$B$44,0)),"no such ID"))</f>
        <v/>
      </c>
      <c r="D149" s="16"/>
      <c r="E149" s="11"/>
      <c r="F149" s="11"/>
      <c r="G149" s="11"/>
    </row>
    <row r="150" spans="1:7" x14ac:dyDescent="0.3">
      <c r="A150" s="17"/>
      <c r="B150" s="11"/>
      <c r="C150" s="30" t="str">
        <f>IF(B150="","",IFERROR(INDEX(Workers!$C$5:$C$44,MATCH(B150,Workers!$B$5:$B$44,0)),"no such ID"))</f>
        <v/>
      </c>
      <c r="D150" s="16"/>
      <c r="E150" s="11"/>
      <c r="F150" s="11"/>
      <c r="G150" s="11"/>
    </row>
    <row r="151" spans="1:7" x14ac:dyDescent="0.3">
      <c r="A151" s="17"/>
      <c r="B151" s="11"/>
      <c r="C151" s="30" t="str">
        <f>IF(B151="","",IFERROR(INDEX(Workers!$C$5:$C$44,MATCH(B151,Workers!$B$5:$B$44,0)),"no such ID"))</f>
        <v/>
      </c>
      <c r="D151" s="16"/>
      <c r="E151" s="11"/>
      <c r="F151" s="11"/>
      <c r="G151" s="11"/>
    </row>
    <row r="152" spans="1:7" x14ac:dyDescent="0.3">
      <c r="A152" s="17"/>
      <c r="B152" s="11"/>
      <c r="C152" s="30" t="str">
        <f>IF(B152="","",IFERROR(INDEX(Workers!$C$5:$C$44,MATCH(B152,Workers!$B$5:$B$44,0)),"no such ID"))</f>
        <v/>
      </c>
      <c r="D152" s="16"/>
      <c r="E152" s="11"/>
      <c r="F152" s="11"/>
      <c r="G152" s="11"/>
    </row>
    <row r="153" spans="1:7" x14ac:dyDescent="0.3">
      <c r="A153" s="17"/>
      <c r="B153" s="11"/>
      <c r="C153" s="30" t="str">
        <f>IF(B153="","",IFERROR(INDEX(Workers!$C$5:$C$44,MATCH(B153,Workers!$B$5:$B$44,0)),"no such ID"))</f>
        <v/>
      </c>
      <c r="D153" s="16"/>
      <c r="E153" s="11"/>
      <c r="F153" s="11"/>
      <c r="G153" s="11"/>
    </row>
    <row r="154" spans="1:7" x14ac:dyDescent="0.3">
      <c r="A154" s="17"/>
      <c r="B154" s="11"/>
      <c r="C154" s="30" t="str">
        <f>IF(B154="","",IFERROR(INDEX(Workers!$C$5:$C$44,MATCH(B154,Workers!$B$5:$B$44,0)),"no such ID"))</f>
        <v/>
      </c>
      <c r="D154" s="16"/>
      <c r="E154" s="11"/>
      <c r="F154" s="11"/>
      <c r="G154" s="11"/>
    </row>
    <row r="155" spans="1:7" x14ac:dyDescent="0.3">
      <c r="A155" s="17"/>
      <c r="B155" s="11"/>
      <c r="C155" s="30" t="str">
        <f>IF(B155="","",IFERROR(INDEX(Workers!$C$5:$C$44,MATCH(B155,Workers!$B$5:$B$44,0)),"no such ID"))</f>
        <v/>
      </c>
      <c r="D155" s="16"/>
      <c r="E155" s="11"/>
      <c r="F155" s="11"/>
      <c r="G155" s="11"/>
    </row>
    <row r="156" spans="1:7" x14ac:dyDescent="0.3">
      <c r="A156" s="17"/>
      <c r="B156" s="11"/>
      <c r="C156" s="30" t="str">
        <f>IF(B156="","",IFERROR(INDEX(Workers!$C$5:$C$44,MATCH(B156,Workers!$B$5:$B$44,0)),"no such ID"))</f>
        <v/>
      </c>
      <c r="D156" s="16"/>
      <c r="E156" s="11"/>
      <c r="F156" s="11"/>
      <c r="G156" s="11"/>
    </row>
    <row r="157" spans="1:7" x14ac:dyDescent="0.3">
      <c r="A157" s="17"/>
      <c r="B157" s="11"/>
      <c r="C157" s="30" t="str">
        <f>IF(B157="","",IFERROR(INDEX(Workers!$C$5:$C$44,MATCH(B157,Workers!$B$5:$B$44,0)),"no such ID"))</f>
        <v/>
      </c>
      <c r="D157" s="16"/>
      <c r="E157" s="11"/>
      <c r="F157" s="11"/>
      <c r="G157" s="11"/>
    </row>
    <row r="158" spans="1:7" x14ac:dyDescent="0.3">
      <c r="A158" s="17"/>
      <c r="B158" s="11"/>
      <c r="C158" s="30" t="str">
        <f>IF(B158="","",IFERROR(INDEX(Workers!$C$5:$C$44,MATCH(B158,Workers!$B$5:$B$44,0)),"no such ID"))</f>
        <v/>
      </c>
      <c r="D158" s="16"/>
      <c r="E158" s="11"/>
      <c r="F158" s="11"/>
      <c r="G158" s="11"/>
    </row>
    <row r="159" spans="1:7" x14ac:dyDescent="0.3">
      <c r="A159" s="17"/>
      <c r="B159" s="11"/>
      <c r="C159" s="30" t="str">
        <f>IF(B159="","",IFERROR(INDEX(Workers!$C$5:$C$44,MATCH(B159,Workers!$B$5:$B$44,0)),"no such ID"))</f>
        <v/>
      </c>
      <c r="D159" s="16"/>
      <c r="E159" s="11"/>
      <c r="F159" s="11"/>
      <c r="G159" s="11"/>
    </row>
    <row r="160" spans="1:7" x14ac:dyDescent="0.3">
      <c r="A160" s="17"/>
      <c r="B160" s="11"/>
      <c r="C160" s="30" t="str">
        <f>IF(B160="","",IFERROR(INDEX(Workers!$C$5:$C$44,MATCH(B160,Workers!$B$5:$B$44,0)),"no such ID"))</f>
        <v/>
      </c>
      <c r="D160" s="16"/>
      <c r="E160" s="11"/>
      <c r="F160" s="11"/>
      <c r="G160" s="11"/>
    </row>
    <row r="161" spans="1:7" x14ac:dyDescent="0.3">
      <c r="A161" s="17"/>
      <c r="B161" s="11"/>
      <c r="C161" s="30" t="str">
        <f>IF(B161="","",IFERROR(INDEX(Workers!$C$5:$C$44,MATCH(B161,Workers!$B$5:$B$44,0)),"no such ID"))</f>
        <v/>
      </c>
      <c r="D161" s="16"/>
      <c r="E161" s="11"/>
      <c r="F161" s="11"/>
      <c r="G161" s="11"/>
    </row>
    <row r="162" spans="1:7" x14ac:dyDescent="0.3">
      <c r="A162" s="17"/>
      <c r="B162" s="11"/>
      <c r="C162" s="30" t="str">
        <f>IF(B162="","",IFERROR(INDEX(Workers!$C$5:$C$44,MATCH(B162,Workers!$B$5:$B$44,0)),"no such ID"))</f>
        <v/>
      </c>
      <c r="D162" s="16"/>
      <c r="E162" s="11"/>
      <c r="F162" s="11"/>
      <c r="G162" s="11"/>
    </row>
    <row r="163" spans="1:7" x14ac:dyDescent="0.3">
      <c r="A163" s="17"/>
      <c r="B163" s="11"/>
      <c r="C163" s="30" t="str">
        <f>IF(B163="","",IFERROR(INDEX(Workers!$C$5:$C$44,MATCH(B163,Workers!$B$5:$B$44,0)),"no such ID"))</f>
        <v/>
      </c>
      <c r="D163" s="16"/>
      <c r="E163" s="11"/>
      <c r="F163" s="11"/>
      <c r="G163" s="11"/>
    </row>
    <row r="164" spans="1:7" x14ac:dyDescent="0.3">
      <c r="A164" s="17"/>
      <c r="B164" s="11"/>
      <c r="C164" s="30" t="str">
        <f>IF(B164="","",IFERROR(INDEX(Workers!$C$5:$C$44,MATCH(B164,Workers!$B$5:$B$44,0)),"no such ID"))</f>
        <v/>
      </c>
      <c r="D164" s="16"/>
      <c r="E164" s="11"/>
      <c r="F164" s="11"/>
      <c r="G164" s="11"/>
    </row>
    <row r="165" spans="1:7" x14ac:dyDescent="0.3">
      <c r="A165" s="17"/>
      <c r="B165" s="11"/>
      <c r="C165" s="30" t="str">
        <f>IF(B165="","",IFERROR(INDEX(Workers!$C$5:$C$44,MATCH(B165,Workers!$B$5:$B$44,0)),"no such ID"))</f>
        <v/>
      </c>
      <c r="D165" s="16"/>
      <c r="E165" s="11"/>
      <c r="F165" s="11"/>
      <c r="G165" s="11"/>
    </row>
    <row r="166" spans="1:7" x14ac:dyDescent="0.3">
      <c r="A166" s="17"/>
      <c r="B166" s="11"/>
      <c r="C166" s="30" t="str">
        <f>IF(B166="","",IFERROR(INDEX(Workers!$C$5:$C$44,MATCH(B166,Workers!$B$5:$B$44,0)),"no such ID"))</f>
        <v/>
      </c>
      <c r="D166" s="16"/>
      <c r="E166" s="11"/>
      <c r="F166" s="11"/>
      <c r="G166" s="11"/>
    </row>
    <row r="167" spans="1:7" x14ac:dyDescent="0.3">
      <c r="A167" s="17"/>
      <c r="B167" s="11"/>
      <c r="C167" s="30" t="str">
        <f>IF(B167="","",IFERROR(INDEX(Workers!$C$5:$C$44,MATCH(B167,Workers!$B$5:$B$44,0)),"no such ID"))</f>
        <v/>
      </c>
      <c r="D167" s="16"/>
      <c r="E167" s="11"/>
      <c r="F167" s="11"/>
      <c r="G167" s="11"/>
    </row>
    <row r="168" spans="1:7" x14ac:dyDescent="0.3">
      <c r="A168" s="17"/>
      <c r="B168" s="11"/>
      <c r="C168" s="30" t="str">
        <f>IF(B168="","",IFERROR(INDEX(Workers!$C$5:$C$44,MATCH(B168,Workers!$B$5:$B$44,0)),"no such ID"))</f>
        <v/>
      </c>
      <c r="D168" s="16"/>
      <c r="E168" s="11"/>
      <c r="F168" s="11"/>
      <c r="G168" s="11"/>
    </row>
    <row r="169" spans="1:7" x14ac:dyDescent="0.3">
      <c r="A169" s="17"/>
      <c r="B169" s="11"/>
      <c r="C169" s="30" t="str">
        <f>IF(B169="","",IFERROR(INDEX(Workers!$C$5:$C$44,MATCH(B169,Workers!$B$5:$B$44,0)),"no such ID"))</f>
        <v/>
      </c>
      <c r="D169" s="16"/>
      <c r="E169" s="11"/>
      <c r="F169" s="11"/>
      <c r="G169" s="11"/>
    </row>
    <row r="170" spans="1:7" x14ac:dyDescent="0.3">
      <c r="A170" s="17"/>
      <c r="B170" s="11"/>
      <c r="C170" s="30" t="str">
        <f>IF(B170="","",IFERROR(INDEX(Workers!$C$5:$C$44,MATCH(B170,Workers!$B$5:$B$44,0)),"no such ID"))</f>
        <v/>
      </c>
      <c r="D170" s="16"/>
      <c r="E170" s="11"/>
      <c r="F170" s="11"/>
      <c r="G170" s="11"/>
    </row>
    <row r="171" spans="1:7" x14ac:dyDescent="0.3">
      <c r="A171" s="17"/>
      <c r="B171" s="11"/>
      <c r="C171" s="30" t="str">
        <f>IF(B171="","",IFERROR(INDEX(Workers!$C$5:$C$44,MATCH(B171,Workers!$B$5:$B$44,0)),"no such ID"))</f>
        <v/>
      </c>
      <c r="D171" s="16"/>
      <c r="E171" s="11"/>
      <c r="F171" s="11"/>
      <c r="G171" s="11"/>
    </row>
    <row r="172" spans="1:7" x14ac:dyDescent="0.3">
      <c r="A172" s="17"/>
      <c r="B172" s="11"/>
      <c r="C172" s="30" t="str">
        <f>IF(B172="","",IFERROR(INDEX(Workers!$C$5:$C$44,MATCH(B172,Workers!$B$5:$B$44,0)),"no such ID"))</f>
        <v/>
      </c>
      <c r="D172" s="16"/>
      <c r="E172" s="11"/>
      <c r="F172" s="11"/>
      <c r="G172" s="11"/>
    </row>
    <row r="173" spans="1:7" x14ac:dyDescent="0.3">
      <c r="A173" s="17"/>
      <c r="B173" s="11"/>
      <c r="C173" s="30" t="str">
        <f>IF(B173="","",IFERROR(INDEX(Workers!$C$5:$C$44,MATCH(B173,Workers!$B$5:$B$44,0)),"no such ID"))</f>
        <v/>
      </c>
      <c r="D173" s="16"/>
      <c r="E173" s="11"/>
      <c r="F173" s="11"/>
      <c r="G173" s="11"/>
    </row>
    <row r="174" spans="1:7" x14ac:dyDescent="0.3">
      <c r="A174" s="17"/>
      <c r="B174" s="11"/>
      <c r="C174" s="30" t="str">
        <f>IF(B174="","",IFERROR(INDEX(Workers!$C$5:$C$44,MATCH(B174,Workers!$B$5:$B$44,0)),"no such ID"))</f>
        <v/>
      </c>
      <c r="D174" s="16"/>
      <c r="E174" s="11"/>
      <c r="F174" s="11"/>
      <c r="G174" s="11"/>
    </row>
    <row r="175" spans="1:7" x14ac:dyDescent="0.3">
      <c r="A175" s="17"/>
      <c r="B175" s="11"/>
      <c r="C175" s="30" t="str">
        <f>IF(B175="","",IFERROR(INDEX(Workers!$C$5:$C$44,MATCH(B175,Workers!$B$5:$B$44,0)),"no such ID"))</f>
        <v/>
      </c>
      <c r="D175" s="16"/>
      <c r="E175" s="11"/>
      <c r="F175" s="11"/>
      <c r="G175" s="11"/>
    </row>
    <row r="176" spans="1:7" x14ac:dyDescent="0.3">
      <c r="A176" s="17"/>
      <c r="B176" s="11"/>
      <c r="C176" s="30" t="str">
        <f>IF(B176="","",IFERROR(INDEX(Workers!$C$5:$C$44,MATCH(B176,Workers!$B$5:$B$44,0)),"no such ID"))</f>
        <v/>
      </c>
      <c r="D176" s="16"/>
      <c r="E176" s="11"/>
      <c r="F176" s="11"/>
      <c r="G176" s="11"/>
    </row>
    <row r="177" spans="1:7" x14ac:dyDescent="0.3">
      <c r="A177" s="17"/>
      <c r="B177" s="11"/>
      <c r="C177" s="30" t="str">
        <f>IF(B177="","",IFERROR(INDEX(Workers!$C$5:$C$44,MATCH(B177,Workers!$B$5:$B$44,0)),"no such ID"))</f>
        <v/>
      </c>
      <c r="D177" s="16"/>
      <c r="E177" s="11"/>
      <c r="F177" s="11"/>
      <c r="G177" s="11"/>
    </row>
    <row r="178" spans="1:7" x14ac:dyDescent="0.3">
      <c r="A178" s="17"/>
      <c r="B178" s="11"/>
      <c r="C178" s="30" t="str">
        <f>IF(B178="","",IFERROR(INDEX(Workers!$C$5:$C$44,MATCH(B178,Workers!$B$5:$B$44,0)),"no such ID"))</f>
        <v/>
      </c>
      <c r="D178" s="16"/>
      <c r="E178" s="11"/>
      <c r="F178" s="11"/>
      <c r="G178" s="11"/>
    </row>
    <row r="179" spans="1:7" x14ac:dyDescent="0.3">
      <c r="A179" s="17"/>
      <c r="B179" s="11"/>
      <c r="C179" s="30" t="str">
        <f>IF(B179="","",IFERROR(INDEX(Workers!$C$5:$C$44,MATCH(B179,Workers!$B$5:$B$44,0)),"no such ID"))</f>
        <v/>
      </c>
      <c r="D179" s="16"/>
      <c r="E179" s="11"/>
      <c r="F179" s="11"/>
      <c r="G179" s="11"/>
    </row>
    <row r="180" spans="1:7" x14ac:dyDescent="0.3">
      <c r="A180" s="17"/>
      <c r="B180" s="11"/>
      <c r="C180" s="30" t="str">
        <f>IF(B180="","",IFERROR(INDEX(Workers!$C$5:$C$44,MATCH(B180,Workers!$B$5:$B$44,0)),"no such ID"))</f>
        <v/>
      </c>
      <c r="D180" s="16"/>
      <c r="E180" s="11"/>
      <c r="F180" s="11"/>
      <c r="G180" s="11"/>
    </row>
    <row r="181" spans="1:7" x14ac:dyDescent="0.3">
      <c r="A181" s="17"/>
      <c r="B181" s="11"/>
      <c r="C181" s="30" t="str">
        <f>IF(B181="","",IFERROR(INDEX(Workers!$C$5:$C$44,MATCH(B181,Workers!$B$5:$B$44,0)),"no such ID"))</f>
        <v/>
      </c>
      <c r="D181" s="16"/>
      <c r="E181" s="11"/>
      <c r="F181" s="11"/>
      <c r="G181" s="11"/>
    </row>
    <row r="182" spans="1:7" x14ac:dyDescent="0.3">
      <c r="A182" s="17"/>
      <c r="B182" s="11"/>
      <c r="C182" s="30" t="str">
        <f>IF(B182="","",IFERROR(INDEX(Workers!$C$5:$C$44,MATCH(B182,Workers!$B$5:$B$44,0)),"no such ID"))</f>
        <v/>
      </c>
      <c r="D182" s="16"/>
      <c r="E182" s="11"/>
      <c r="F182" s="11"/>
      <c r="G182" s="11"/>
    </row>
    <row r="183" spans="1:7" x14ac:dyDescent="0.3">
      <c r="A183" s="17"/>
      <c r="B183" s="11"/>
      <c r="C183" s="30" t="str">
        <f>IF(B183="","",IFERROR(INDEX(Workers!$C$5:$C$44,MATCH(B183,Workers!$B$5:$B$44,0)),"no such ID"))</f>
        <v/>
      </c>
      <c r="D183" s="16"/>
      <c r="E183" s="11"/>
      <c r="F183" s="11"/>
      <c r="G183" s="11"/>
    </row>
    <row r="184" spans="1:7" x14ac:dyDescent="0.3">
      <c r="A184" s="17"/>
      <c r="B184" s="11"/>
      <c r="C184" s="30" t="str">
        <f>IF(B184="","",IFERROR(INDEX(Workers!$C$5:$C$44,MATCH(B184,Workers!$B$5:$B$44,0)),"no such ID"))</f>
        <v/>
      </c>
      <c r="D184" s="16"/>
      <c r="E184" s="11"/>
      <c r="F184" s="11"/>
      <c r="G184" s="11"/>
    </row>
    <row r="185" spans="1:7" x14ac:dyDescent="0.3">
      <c r="A185" s="17"/>
      <c r="B185" s="11"/>
      <c r="C185" s="30" t="str">
        <f>IF(B185="","",IFERROR(INDEX(Workers!$C$5:$C$44,MATCH(B185,Workers!$B$5:$B$44,0)),"no such ID"))</f>
        <v/>
      </c>
      <c r="D185" s="16"/>
      <c r="E185" s="11"/>
      <c r="F185" s="11"/>
      <c r="G185" s="11"/>
    </row>
    <row r="186" spans="1:7" x14ac:dyDescent="0.3">
      <c r="A186" s="17"/>
      <c r="B186" s="11"/>
      <c r="C186" s="30" t="str">
        <f>IF(B186="","",IFERROR(INDEX(Workers!$C$5:$C$44,MATCH(B186,Workers!$B$5:$B$44,0)),"no such ID"))</f>
        <v/>
      </c>
      <c r="D186" s="16"/>
      <c r="E186" s="11"/>
      <c r="F186" s="11"/>
      <c r="G186" s="11"/>
    </row>
    <row r="187" spans="1:7" x14ac:dyDescent="0.3">
      <c r="A187" s="17"/>
      <c r="B187" s="11"/>
      <c r="C187" s="30" t="str">
        <f>IF(B187="","",IFERROR(INDEX(Workers!$C$5:$C$44,MATCH(B187,Workers!$B$5:$B$44,0)),"no such ID"))</f>
        <v/>
      </c>
      <c r="D187" s="16"/>
      <c r="E187" s="11"/>
      <c r="F187" s="11"/>
      <c r="G187" s="11"/>
    </row>
    <row r="188" spans="1:7" x14ac:dyDescent="0.3">
      <c r="A188" s="17"/>
      <c r="B188" s="11"/>
      <c r="C188" s="30" t="str">
        <f>IF(B188="","",IFERROR(INDEX(Workers!$C$5:$C$44,MATCH(B188,Workers!$B$5:$B$44,0)),"no such ID"))</f>
        <v/>
      </c>
      <c r="D188" s="16"/>
      <c r="E188" s="11"/>
      <c r="F188" s="11"/>
      <c r="G188" s="11"/>
    </row>
    <row r="189" spans="1:7" x14ac:dyDescent="0.3">
      <c r="A189" s="17"/>
      <c r="B189" s="11"/>
      <c r="C189" s="30" t="str">
        <f>IF(B189="","",IFERROR(INDEX(Workers!$C$5:$C$44,MATCH(B189,Workers!$B$5:$B$44,0)),"no such ID"))</f>
        <v/>
      </c>
      <c r="D189" s="16"/>
      <c r="E189" s="11"/>
      <c r="F189" s="11"/>
      <c r="G189" s="11"/>
    </row>
    <row r="190" spans="1:7" x14ac:dyDescent="0.3">
      <c r="A190" s="17"/>
      <c r="B190" s="11"/>
      <c r="C190" s="30" t="str">
        <f>IF(B190="","",IFERROR(INDEX(Workers!$C$5:$C$44,MATCH(B190,Workers!$B$5:$B$44,0)),"no such ID"))</f>
        <v/>
      </c>
      <c r="D190" s="16"/>
      <c r="E190" s="11"/>
      <c r="F190" s="11"/>
      <c r="G190" s="11"/>
    </row>
    <row r="191" spans="1:7" x14ac:dyDescent="0.3">
      <c r="A191" s="17"/>
      <c r="B191" s="11"/>
      <c r="C191" s="30" t="str">
        <f>IF(B191="","",IFERROR(INDEX(Workers!$C$5:$C$44,MATCH(B191,Workers!$B$5:$B$44,0)),"no such ID"))</f>
        <v/>
      </c>
      <c r="D191" s="16"/>
      <c r="E191" s="11"/>
      <c r="F191" s="11"/>
      <c r="G191" s="11"/>
    </row>
    <row r="192" spans="1:7" x14ac:dyDescent="0.3">
      <c r="A192" s="17"/>
      <c r="B192" s="11"/>
      <c r="C192" s="30" t="str">
        <f>IF(B192="","",IFERROR(INDEX(Workers!$C$5:$C$44,MATCH(B192,Workers!$B$5:$B$44,0)),"no such ID"))</f>
        <v/>
      </c>
      <c r="D192" s="16"/>
      <c r="E192" s="11"/>
      <c r="F192" s="11"/>
      <c r="G192" s="11"/>
    </row>
    <row r="193" spans="1:7" x14ac:dyDescent="0.3">
      <c r="A193" s="17"/>
      <c r="B193" s="11"/>
      <c r="C193" s="30" t="str">
        <f>IF(B193="","",IFERROR(INDEX(Workers!$C$5:$C$44,MATCH(B193,Workers!$B$5:$B$44,0)),"no such ID"))</f>
        <v/>
      </c>
      <c r="D193" s="16"/>
      <c r="E193" s="11"/>
      <c r="F193" s="11"/>
      <c r="G193" s="11"/>
    </row>
    <row r="194" spans="1:7" x14ac:dyDescent="0.3">
      <c r="A194" s="17"/>
      <c r="B194" s="11"/>
      <c r="C194" s="30" t="str">
        <f>IF(B194="","",IFERROR(INDEX(Workers!$C$5:$C$44,MATCH(B194,Workers!$B$5:$B$44,0)),"no such ID"))</f>
        <v/>
      </c>
      <c r="D194" s="16"/>
      <c r="E194" s="11"/>
      <c r="F194" s="11"/>
      <c r="G194" s="11"/>
    </row>
    <row r="195" spans="1:7" x14ac:dyDescent="0.3">
      <c r="A195" s="17"/>
      <c r="B195" s="11"/>
      <c r="C195" s="30" t="str">
        <f>IF(B195="","",IFERROR(INDEX(Workers!$C$5:$C$44,MATCH(B195,Workers!$B$5:$B$44,0)),"no such ID"))</f>
        <v/>
      </c>
      <c r="D195" s="16"/>
      <c r="E195" s="11"/>
      <c r="F195" s="11"/>
      <c r="G195" s="11"/>
    </row>
    <row r="196" spans="1:7" x14ac:dyDescent="0.3">
      <c r="A196" s="17"/>
      <c r="B196" s="11"/>
      <c r="C196" s="30" t="str">
        <f>IF(B196="","",IFERROR(INDEX(Workers!$C$5:$C$44,MATCH(B196,Workers!$B$5:$B$44,0)),"no such ID"))</f>
        <v/>
      </c>
      <c r="D196" s="16"/>
      <c r="E196" s="11"/>
      <c r="F196" s="11"/>
      <c r="G196" s="11"/>
    </row>
    <row r="197" spans="1:7" x14ac:dyDescent="0.3">
      <c r="A197" s="17"/>
      <c r="B197" s="11"/>
      <c r="C197" s="30" t="str">
        <f>IF(B197="","",IFERROR(INDEX(Workers!$C$5:$C$44,MATCH(B197,Workers!$B$5:$B$44,0)),"no such ID"))</f>
        <v/>
      </c>
      <c r="D197" s="16"/>
      <c r="E197" s="11"/>
      <c r="F197" s="11"/>
      <c r="G197" s="11"/>
    </row>
    <row r="198" spans="1:7" x14ac:dyDescent="0.3">
      <c r="A198" s="17"/>
      <c r="B198" s="11"/>
      <c r="C198" s="30" t="str">
        <f>IF(B198="","",IFERROR(INDEX(Workers!$C$5:$C$44,MATCH(B198,Workers!$B$5:$B$44,0)),"no such ID"))</f>
        <v/>
      </c>
      <c r="D198" s="16"/>
      <c r="E198" s="11"/>
      <c r="F198" s="11"/>
      <c r="G198" s="11"/>
    </row>
    <row r="199" spans="1:7" x14ac:dyDescent="0.3">
      <c r="A199" s="17"/>
      <c r="B199" s="11"/>
      <c r="C199" s="30" t="str">
        <f>IF(B199="","",IFERROR(INDEX(Workers!$C$5:$C$44,MATCH(B199,Workers!$B$5:$B$44,0)),"no such ID"))</f>
        <v/>
      </c>
      <c r="D199" s="16"/>
      <c r="E199" s="11"/>
      <c r="F199" s="11"/>
      <c r="G199" s="11"/>
    </row>
    <row r="200" spans="1:7" x14ac:dyDescent="0.3">
      <c r="A200" s="17"/>
      <c r="B200" s="11"/>
      <c r="C200" s="30" t="str">
        <f>IF(B200="","",IFERROR(INDEX(Workers!$C$5:$C$44,MATCH(B200,Workers!$B$5:$B$44,0)),"no such ID"))</f>
        <v/>
      </c>
      <c r="D200" s="16"/>
      <c r="E200" s="11"/>
      <c r="F200" s="11"/>
      <c r="G200" s="11"/>
    </row>
    <row r="201" spans="1:7" x14ac:dyDescent="0.3">
      <c r="A201" s="17"/>
      <c r="B201" s="11"/>
      <c r="C201" s="30" t="str">
        <f>IF(B201="","",IFERROR(INDEX(Workers!$C$5:$C$44,MATCH(B201,Workers!$B$5:$B$44,0)),"no such ID"))</f>
        <v/>
      </c>
      <c r="D201" s="16"/>
      <c r="E201" s="11"/>
      <c r="F201" s="11"/>
      <c r="G201" s="11"/>
    </row>
    <row r="202" spans="1:7" x14ac:dyDescent="0.3">
      <c r="A202" s="17"/>
      <c r="B202" s="11"/>
      <c r="C202" s="30" t="str">
        <f>IF(B202="","",IFERROR(INDEX(Workers!$C$5:$C$44,MATCH(B202,Workers!$B$5:$B$44,0)),"no such ID"))</f>
        <v/>
      </c>
      <c r="D202" s="16"/>
      <c r="E202" s="11"/>
      <c r="F202" s="11"/>
      <c r="G202" s="11"/>
    </row>
    <row r="203" spans="1:7" x14ac:dyDescent="0.3">
      <c r="A203" s="17"/>
      <c r="B203" s="11"/>
      <c r="C203" s="30" t="str">
        <f>IF(B203="","",IFERROR(INDEX(Workers!$C$5:$C$44,MATCH(B203,Workers!$B$5:$B$44,0)),"no such ID"))</f>
        <v/>
      </c>
      <c r="D203" s="16"/>
      <c r="E203" s="11"/>
      <c r="F203" s="11"/>
      <c r="G203" s="11"/>
    </row>
    <row r="204" spans="1:7" x14ac:dyDescent="0.3">
      <c r="A204" s="17"/>
      <c r="B204" s="11"/>
      <c r="C204" s="30" t="str">
        <f>IF(B204="","",IFERROR(INDEX(Workers!$C$5:$C$44,MATCH(B204,Workers!$B$5:$B$44,0)),"no such ID"))</f>
        <v/>
      </c>
      <c r="D204" s="16"/>
      <c r="E204" s="11"/>
      <c r="F204" s="11"/>
      <c r="G204" s="11"/>
    </row>
    <row r="205" spans="1:7" x14ac:dyDescent="0.3">
      <c r="A205" s="17"/>
      <c r="B205" s="11"/>
      <c r="C205" s="30" t="str">
        <f>IF(B205="","",IFERROR(INDEX(Workers!$C$5:$C$44,MATCH(B205,Workers!$B$5:$B$44,0)),"no such ID"))</f>
        <v/>
      </c>
      <c r="D205" s="16"/>
      <c r="E205" s="11"/>
      <c r="F205" s="11"/>
      <c r="G205" s="11"/>
    </row>
    <row r="206" spans="1:7" x14ac:dyDescent="0.3">
      <c r="A206" s="17"/>
      <c r="B206" s="11"/>
      <c r="C206" s="30" t="str">
        <f>IF(B206="","",IFERROR(INDEX(Workers!$C$5:$C$44,MATCH(B206,Workers!$B$5:$B$44,0)),"no such ID"))</f>
        <v/>
      </c>
      <c r="D206" s="16"/>
      <c r="E206" s="11"/>
      <c r="F206" s="11"/>
      <c r="G206" s="11"/>
    </row>
    <row r="207" spans="1:7" x14ac:dyDescent="0.3">
      <c r="A207" s="17"/>
      <c r="B207" s="11"/>
      <c r="C207" s="30" t="str">
        <f>IF(B207="","",IFERROR(INDEX(Workers!$C$5:$C$44,MATCH(B207,Workers!$B$5:$B$44,0)),"no such ID"))</f>
        <v/>
      </c>
      <c r="D207" s="16"/>
      <c r="E207" s="11"/>
      <c r="F207" s="11"/>
      <c r="G207" s="11"/>
    </row>
    <row r="208" spans="1:7" x14ac:dyDescent="0.3">
      <c r="A208" s="17"/>
      <c r="B208" s="11"/>
      <c r="C208" s="30" t="str">
        <f>IF(B208="","",IFERROR(INDEX(Workers!$C$5:$C$44,MATCH(B208,Workers!$B$5:$B$44,0)),"no such ID"))</f>
        <v/>
      </c>
      <c r="D208" s="16"/>
      <c r="E208" s="11"/>
      <c r="F208" s="11"/>
      <c r="G208" s="11"/>
    </row>
    <row r="209" spans="1:7" x14ac:dyDescent="0.3">
      <c r="A209" s="17"/>
      <c r="B209" s="11"/>
      <c r="C209" s="30" t="str">
        <f>IF(B209="","",IFERROR(INDEX(Workers!$C$5:$C$44,MATCH(B209,Workers!$B$5:$B$44,0)),"no such ID"))</f>
        <v/>
      </c>
      <c r="D209" s="16"/>
      <c r="E209" s="11"/>
      <c r="F209" s="11"/>
      <c r="G209" s="11"/>
    </row>
    <row r="210" spans="1:7" x14ac:dyDescent="0.3">
      <c r="A210" s="17"/>
      <c r="B210" s="11"/>
      <c r="C210" s="30" t="str">
        <f>IF(B210="","",IFERROR(INDEX(Workers!$C$5:$C$44,MATCH(B210,Workers!$B$5:$B$44,0)),"no such ID"))</f>
        <v/>
      </c>
      <c r="D210" s="16"/>
      <c r="E210" s="11"/>
      <c r="F210" s="11"/>
      <c r="G210" s="11"/>
    </row>
    <row r="211" spans="1:7" x14ac:dyDescent="0.3">
      <c r="A211" s="17"/>
      <c r="B211" s="11"/>
      <c r="C211" s="30" t="str">
        <f>IF(B211="","",IFERROR(INDEX(Workers!$C$5:$C$44,MATCH(B211,Workers!$B$5:$B$44,0)),"no such ID"))</f>
        <v/>
      </c>
      <c r="D211" s="16"/>
      <c r="E211" s="11"/>
      <c r="F211" s="11"/>
      <c r="G211" s="11"/>
    </row>
    <row r="212" spans="1:7" x14ac:dyDescent="0.3">
      <c r="A212" s="17"/>
      <c r="B212" s="11"/>
      <c r="C212" s="30" t="str">
        <f>IF(B212="","",IFERROR(INDEX(Workers!$C$5:$C$44,MATCH(B212,Workers!$B$5:$B$44,0)),"no such ID"))</f>
        <v/>
      </c>
      <c r="D212" s="16"/>
      <c r="E212" s="11"/>
      <c r="F212" s="11"/>
      <c r="G212" s="11"/>
    </row>
    <row r="213" spans="1:7" x14ac:dyDescent="0.3">
      <c r="A213" s="17"/>
      <c r="B213" s="11"/>
      <c r="C213" s="30" t="str">
        <f>IF(B213="","",IFERROR(INDEX(Workers!$C$5:$C$44,MATCH(B213,Workers!$B$5:$B$44,0)),"no such ID"))</f>
        <v/>
      </c>
      <c r="D213" s="16"/>
      <c r="E213" s="11"/>
      <c r="F213" s="11"/>
      <c r="G213" s="11"/>
    </row>
    <row r="214" spans="1:7" x14ac:dyDescent="0.3">
      <c r="A214" s="17"/>
      <c r="B214" s="11"/>
      <c r="C214" s="30" t="str">
        <f>IF(B214="","",IFERROR(INDEX(Workers!$C$5:$C$44,MATCH(B214,Workers!$B$5:$B$44,0)),"no such ID"))</f>
        <v/>
      </c>
      <c r="D214" s="16"/>
      <c r="E214" s="11"/>
      <c r="F214" s="11"/>
      <c r="G214" s="11"/>
    </row>
    <row r="215" spans="1:7" x14ac:dyDescent="0.3">
      <c r="A215" s="17"/>
      <c r="B215" s="11"/>
      <c r="C215" s="30" t="str">
        <f>IF(B215="","",IFERROR(INDEX(Workers!$C$5:$C$44,MATCH(B215,Workers!$B$5:$B$44,0)),"no such ID"))</f>
        <v/>
      </c>
      <c r="D215" s="16"/>
      <c r="E215" s="11"/>
      <c r="F215" s="11"/>
      <c r="G215" s="11"/>
    </row>
    <row r="216" spans="1:7" x14ac:dyDescent="0.3">
      <c r="A216" s="17"/>
      <c r="B216" s="11"/>
      <c r="C216" s="30" t="str">
        <f>IF(B216="","",IFERROR(INDEX(Workers!$C$5:$C$44,MATCH(B216,Workers!$B$5:$B$44,0)),"no such ID"))</f>
        <v/>
      </c>
      <c r="D216" s="16"/>
      <c r="E216" s="11"/>
      <c r="F216" s="11"/>
      <c r="G216" s="11"/>
    </row>
    <row r="217" spans="1:7" x14ac:dyDescent="0.3">
      <c r="A217" s="17"/>
      <c r="B217" s="11"/>
      <c r="C217" s="30" t="str">
        <f>IF(B217="","",IFERROR(INDEX(Workers!$C$5:$C$44,MATCH(B217,Workers!$B$5:$B$44,0)),"no such ID"))</f>
        <v/>
      </c>
      <c r="D217" s="16"/>
      <c r="E217" s="11"/>
      <c r="F217" s="11"/>
      <c r="G217" s="11"/>
    </row>
    <row r="218" spans="1:7" x14ac:dyDescent="0.3">
      <c r="A218" s="17"/>
      <c r="B218" s="11"/>
      <c r="C218" s="30" t="str">
        <f>IF(B218="","",IFERROR(INDEX(Workers!$C$5:$C$44,MATCH(B218,Workers!$B$5:$B$44,0)),"no such ID"))</f>
        <v/>
      </c>
      <c r="D218" s="16"/>
      <c r="E218" s="11"/>
      <c r="F218" s="11"/>
      <c r="G218" s="11"/>
    </row>
    <row r="219" spans="1:7" x14ac:dyDescent="0.3">
      <c r="A219" s="17"/>
      <c r="B219" s="11"/>
      <c r="C219" s="30" t="str">
        <f>IF(B219="","",IFERROR(INDEX(Workers!$C$5:$C$44,MATCH(B219,Workers!$B$5:$B$44,0)),"no such ID"))</f>
        <v/>
      </c>
      <c r="D219" s="16"/>
      <c r="E219" s="11"/>
      <c r="F219" s="11"/>
      <c r="G219" s="11"/>
    </row>
    <row r="220" spans="1:7" x14ac:dyDescent="0.3">
      <c r="A220" s="17"/>
      <c r="B220" s="11"/>
      <c r="C220" s="30" t="str">
        <f>IF(B220="","",IFERROR(INDEX(Workers!$C$5:$C$44,MATCH(B220,Workers!$B$5:$B$44,0)),"no such ID"))</f>
        <v/>
      </c>
      <c r="D220" s="16"/>
      <c r="E220" s="11"/>
      <c r="F220" s="11"/>
      <c r="G220" s="11"/>
    </row>
    <row r="221" spans="1:7" x14ac:dyDescent="0.3">
      <c r="A221" s="17"/>
      <c r="B221" s="11"/>
      <c r="C221" s="30" t="str">
        <f>IF(B221="","",IFERROR(INDEX(Workers!$C$5:$C$44,MATCH(B221,Workers!$B$5:$B$44,0)),"no such ID"))</f>
        <v/>
      </c>
      <c r="D221" s="16"/>
      <c r="E221" s="11"/>
      <c r="F221" s="11"/>
      <c r="G221" s="11"/>
    </row>
    <row r="222" spans="1:7" x14ac:dyDescent="0.3">
      <c r="A222" s="17"/>
      <c r="B222" s="11"/>
      <c r="C222" s="30" t="str">
        <f>IF(B222="","",IFERROR(INDEX(Workers!$C$5:$C$44,MATCH(B222,Workers!$B$5:$B$44,0)),"no such ID"))</f>
        <v/>
      </c>
      <c r="D222" s="16"/>
      <c r="E222" s="11"/>
      <c r="F222" s="11"/>
      <c r="G222" s="11"/>
    </row>
    <row r="223" spans="1:7" x14ac:dyDescent="0.3">
      <c r="A223" s="17"/>
      <c r="B223" s="11"/>
      <c r="C223" s="30" t="str">
        <f>IF(B223="","",IFERROR(INDEX(Workers!$C$5:$C$44,MATCH(B223,Workers!$B$5:$B$44,0)),"no such ID"))</f>
        <v/>
      </c>
      <c r="D223" s="16"/>
      <c r="E223" s="11"/>
      <c r="F223" s="11"/>
      <c r="G223" s="11"/>
    </row>
    <row r="224" spans="1:7" x14ac:dyDescent="0.3">
      <c r="A224" s="17"/>
      <c r="B224" s="11"/>
      <c r="C224" s="30" t="str">
        <f>IF(B224="","",IFERROR(INDEX(Workers!$C$5:$C$44,MATCH(B224,Workers!$B$5:$B$44,0)),"no such ID"))</f>
        <v/>
      </c>
      <c r="D224" s="16"/>
      <c r="E224" s="11"/>
      <c r="F224" s="11"/>
      <c r="G224" s="11"/>
    </row>
    <row r="225" spans="1:7" x14ac:dyDescent="0.3">
      <c r="A225" s="17"/>
      <c r="B225" s="11"/>
      <c r="C225" s="30" t="str">
        <f>IF(B225="","",IFERROR(INDEX(Workers!$C$5:$C$44,MATCH(B225,Workers!$B$5:$B$44,0)),"no such ID"))</f>
        <v/>
      </c>
      <c r="D225" s="16"/>
      <c r="E225" s="11"/>
      <c r="F225" s="11"/>
      <c r="G225" s="11"/>
    </row>
    <row r="226" spans="1:7" x14ac:dyDescent="0.3">
      <c r="A226" s="17"/>
      <c r="B226" s="11"/>
      <c r="C226" s="30" t="str">
        <f>IF(B226="","",IFERROR(INDEX(Workers!$C$5:$C$44,MATCH(B226,Workers!$B$5:$B$44,0)),"no such ID"))</f>
        <v/>
      </c>
      <c r="D226" s="16"/>
      <c r="E226" s="11"/>
      <c r="F226" s="11"/>
      <c r="G226" s="11"/>
    </row>
    <row r="227" spans="1:7" x14ac:dyDescent="0.3">
      <c r="A227" s="17"/>
      <c r="B227" s="11"/>
      <c r="C227" s="30" t="str">
        <f>IF(B227="","",IFERROR(INDEX(Workers!$C$5:$C$44,MATCH(B227,Workers!$B$5:$B$44,0)),"no such ID"))</f>
        <v/>
      </c>
      <c r="D227" s="16"/>
      <c r="E227" s="11"/>
      <c r="F227" s="11"/>
      <c r="G227" s="11"/>
    </row>
    <row r="228" spans="1:7" x14ac:dyDescent="0.3">
      <c r="A228" s="17"/>
      <c r="B228" s="11"/>
      <c r="C228" s="30" t="str">
        <f>IF(B228="","",IFERROR(INDEX(Workers!$C$5:$C$44,MATCH(B228,Workers!$B$5:$B$44,0)),"no such ID"))</f>
        <v/>
      </c>
      <c r="D228" s="16"/>
      <c r="E228" s="11"/>
      <c r="F228" s="11"/>
      <c r="G228" s="11"/>
    </row>
    <row r="229" spans="1:7" x14ac:dyDescent="0.3">
      <c r="A229" s="17"/>
      <c r="B229" s="11"/>
      <c r="C229" s="30" t="str">
        <f>IF(B229="","",IFERROR(INDEX(Workers!$C$5:$C$44,MATCH(B229,Workers!$B$5:$B$44,0)),"no such ID"))</f>
        <v/>
      </c>
      <c r="D229" s="16"/>
      <c r="E229" s="11"/>
      <c r="F229" s="11"/>
      <c r="G229" s="11"/>
    </row>
    <row r="230" spans="1:7" x14ac:dyDescent="0.3">
      <c r="A230" s="17"/>
      <c r="B230" s="11"/>
      <c r="C230" s="30" t="str">
        <f>IF(B230="","",IFERROR(INDEX(Workers!$C$5:$C$44,MATCH(B230,Workers!$B$5:$B$44,0)),"no such ID"))</f>
        <v/>
      </c>
      <c r="D230" s="16"/>
      <c r="E230" s="11"/>
      <c r="F230" s="11"/>
      <c r="G230" s="11"/>
    </row>
    <row r="231" spans="1:7" x14ac:dyDescent="0.3">
      <c r="A231" s="17"/>
      <c r="B231" s="11"/>
      <c r="C231" s="30" t="str">
        <f>IF(B231="","",IFERROR(INDEX(Workers!$C$5:$C$44,MATCH(B231,Workers!$B$5:$B$44,0)),"no such ID"))</f>
        <v/>
      </c>
      <c r="D231" s="16"/>
      <c r="E231" s="11"/>
      <c r="F231" s="11"/>
      <c r="G231" s="11"/>
    </row>
    <row r="232" spans="1:7" x14ac:dyDescent="0.3">
      <c r="A232" s="17"/>
      <c r="B232" s="11"/>
      <c r="C232" s="30" t="str">
        <f>IF(B232="","",IFERROR(INDEX(Workers!$C$5:$C$44,MATCH(B232,Workers!$B$5:$B$44,0)),"no such ID"))</f>
        <v/>
      </c>
      <c r="D232" s="16"/>
      <c r="E232" s="11"/>
      <c r="F232" s="11"/>
      <c r="G232" s="11"/>
    </row>
    <row r="233" spans="1:7" x14ac:dyDescent="0.3">
      <c r="A233" s="17"/>
      <c r="B233" s="11"/>
      <c r="C233" s="30" t="str">
        <f>IF(B233="","",IFERROR(INDEX(Workers!$C$5:$C$44,MATCH(B233,Workers!$B$5:$B$44,0)),"no such ID"))</f>
        <v/>
      </c>
      <c r="D233" s="16"/>
      <c r="E233" s="11"/>
      <c r="F233" s="11"/>
      <c r="G233" s="11"/>
    </row>
    <row r="234" spans="1:7" x14ac:dyDescent="0.3">
      <c r="A234" s="17"/>
      <c r="B234" s="11"/>
      <c r="C234" s="30" t="str">
        <f>IF(B234="","",IFERROR(INDEX(Workers!$C$5:$C$44,MATCH(B234,Workers!$B$5:$B$44,0)),"no such ID"))</f>
        <v/>
      </c>
      <c r="D234" s="16"/>
      <c r="E234" s="11"/>
      <c r="F234" s="11"/>
      <c r="G234" s="11"/>
    </row>
    <row r="235" spans="1:7" x14ac:dyDescent="0.3">
      <c r="A235" s="17"/>
      <c r="B235" s="11"/>
      <c r="C235" s="30" t="str">
        <f>IF(B235="","",IFERROR(INDEX(Workers!$C$5:$C$44,MATCH(B235,Workers!$B$5:$B$44,0)),"no such ID"))</f>
        <v/>
      </c>
      <c r="D235" s="16"/>
      <c r="E235" s="11"/>
      <c r="F235" s="11"/>
      <c r="G235" s="11"/>
    </row>
    <row r="236" spans="1:7" x14ac:dyDescent="0.3">
      <c r="A236" s="17"/>
      <c r="B236" s="11"/>
      <c r="C236" s="30" t="str">
        <f>IF(B236="","",IFERROR(INDEX(Workers!$C$5:$C$44,MATCH(B236,Workers!$B$5:$B$44,0)),"no such ID"))</f>
        <v/>
      </c>
      <c r="D236" s="16"/>
      <c r="E236" s="11"/>
      <c r="F236" s="11"/>
      <c r="G236" s="11"/>
    </row>
    <row r="237" spans="1:7" x14ac:dyDescent="0.3">
      <c r="A237" s="17"/>
      <c r="B237" s="11"/>
      <c r="C237" s="30" t="str">
        <f>IF(B237="","",IFERROR(INDEX(Workers!$C$5:$C$44,MATCH(B237,Workers!$B$5:$B$44,0)),"no such ID"))</f>
        <v/>
      </c>
      <c r="D237" s="16"/>
      <c r="E237" s="11"/>
      <c r="F237" s="11"/>
      <c r="G237" s="11"/>
    </row>
    <row r="238" spans="1:7" x14ac:dyDescent="0.3">
      <c r="A238" s="17"/>
      <c r="B238" s="11"/>
      <c r="C238" s="30" t="str">
        <f>IF(B238="","",IFERROR(INDEX(Workers!$C$5:$C$44,MATCH(B238,Workers!$B$5:$B$44,0)),"no such ID"))</f>
        <v/>
      </c>
      <c r="D238" s="16"/>
      <c r="E238" s="11"/>
      <c r="F238" s="11"/>
      <c r="G238" s="11"/>
    </row>
    <row r="239" spans="1:7" x14ac:dyDescent="0.3">
      <c r="A239" s="17"/>
      <c r="B239" s="11"/>
      <c r="C239" s="30" t="str">
        <f>IF(B239="","",IFERROR(INDEX(Workers!$C$5:$C$44,MATCH(B239,Workers!$B$5:$B$44,0)),"no such ID"))</f>
        <v/>
      </c>
      <c r="D239" s="16"/>
      <c r="E239" s="11"/>
      <c r="F239" s="11"/>
      <c r="G239" s="11"/>
    </row>
    <row r="240" spans="1:7" x14ac:dyDescent="0.3">
      <c r="A240" s="17"/>
      <c r="B240" s="11"/>
      <c r="C240" s="30" t="str">
        <f>IF(B240="","",IFERROR(INDEX(Workers!$C$5:$C$44,MATCH(B240,Workers!$B$5:$B$44,0)),"no such ID"))</f>
        <v/>
      </c>
      <c r="D240" s="16"/>
      <c r="E240" s="11"/>
      <c r="F240" s="11"/>
      <c r="G240" s="11"/>
    </row>
    <row r="241" spans="1:7" x14ac:dyDescent="0.3">
      <c r="A241" s="17"/>
      <c r="B241" s="11"/>
      <c r="C241" s="30" t="str">
        <f>IF(B241="","",IFERROR(INDEX(Workers!$C$5:$C$44,MATCH(B241,Workers!$B$5:$B$44,0)),"no such ID"))</f>
        <v/>
      </c>
      <c r="D241" s="16"/>
      <c r="E241" s="11"/>
      <c r="F241" s="11"/>
      <c r="G241" s="11"/>
    </row>
    <row r="242" spans="1:7" x14ac:dyDescent="0.3">
      <c r="A242" s="17"/>
      <c r="B242" s="11"/>
      <c r="C242" s="30" t="str">
        <f>IF(B242="","",IFERROR(INDEX(Workers!$C$5:$C$44,MATCH(B242,Workers!$B$5:$B$44,0)),"no such ID"))</f>
        <v/>
      </c>
      <c r="D242" s="16"/>
      <c r="E242" s="11"/>
      <c r="F242" s="11"/>
      <c r="G242" s="11"/>
    </row>
    <row r="243" spans="1:7" x14ac:dyDescent="0.3">
      <c r="A243" s="17"/>
      <c r="B243" s="11"/>
      <c r="C243" s="30" t="str">
        <f>IF(B243="","",IFERROR(INDEX(Workers!$C$5:$C$44,MATCH(B243,Workers!$B$5:$B$44,0)),"no such ID"))</f>
        <v/>
      </c>
      <c r="D243" s="16"/>
      <c r="E243" s="11"/>
      <c r="F243" s="11"/>
      <c r="G243" s="11"/>
    </row>
    <row r="244" spans="1:7" x14ac:dyDescent="0.3">
      <c r="A244" s="17"/>
      <c r="B244" s="11"/>
      <c r="C244" s="30" t="str">
        <f>IF(B244="","",IFERROR(INDEX(Workers!$C$5:$C$44,MATCH(B244,Workers!$B$5:$B$44,0)),"no such ID"))</f>
        <v/>
      </c>
      <c r="D244" s="16"/>
      <c r="E244" s="11"/>
      <c r="F244" s="11"/>
      <c r="G244" s="11"/>
    </row>
    <row r="245" spans="1:7" x14ac:dyDescent="0.3">
      <c r="A245" s="17"/>
      <c r="B245" s="11"/>
      <c r="C245" s="30" t="str">
        <f>IF(B245="","",IFERROR(INDEX(Workers!$C$5:$C$44,MATCH(B245,Workers!$B$5:$B$44,0)),"no such ID"))</f>
        <v/>
      </c>
      <c r="D245" s="16"/>
      <c r="E245" s="11"/>
      <c r="F245" s="11"/>
      <c r="G245" s="11"/>
    </row>
    <row r="246" spans="1:7" x14ac:dyDescent="0.3">
      <c r="A246" s="17"/>
      <c r="B246" s="11"/>
      <c r="C246" s="30" t="str">
        <f>IF(B246="","",IFERROR(INDEX(Workers!$C$5:$C$44,MATCH(B246,Workers!$B$5:$B$44,0)),"no such ID"))</f>
        <v/>
      </c>
      <c r="D246" s="16"/>
      <c r="E246" s="11"/>
      <c r="F246" s="11"/>
      <c r="G246" s="11"/>
    </row>
    <row r="247" spans="1:7" x14ac:dyDescent="0.3">
      <c r="A247" s="17"/>
      <c r="B247" s="11"/>
      <c r="C247" s="30" t="str">
        <f>IF(B247="","",IFERROR(INDEX(Workers!$C$5:$C$44,MATCH(B247,Workers!$B$5:$B$44,0)),"no such ID"))</f>
        <v/>
      </c>
      <c r="D247" s="16"/>
      <c r="E247" s="11"/>
      <c r="F247" s="11"/>
      <c r="G247" s="11"/>
    </row>
    <row r="248" spans="1:7" x14ac:dyDescent="0.3">
      <c r="A248" s="17"/>
      <c r="B248" s="11"/>
      <c r="C248" s="30" t="str">
        <f>IF(B248="","",IFERROR(INDEX(Workers!$C$5:$C$44,MATCH(B248,Workers!$B$5:$B$44,0)),"no such ID"))</f>
        <v/>
      </c>
      <c r="D248" s="16"/>
      <c r="E248" s="11"/>
      <c r="F248" s="11"/>
      <c r="G248" s="11"/>
    </row>
    <row r="249" spans="1:7" x14ac:dyDescent="0.3">
      <c r="A249" s="17"/>
      <c r="B249" s="11"/>
      <c r="C249" s="30" t="str">
        <f>IF(B249="","",IFERROR(INDEX(Workers!$C$5:$C$44,MATCH(B249,Workers!$B$5:$B$44,0)),"no such ID"))</f>
        <v/>
      </c>
      <c r="D249" s="16"/>
      <c r="E249" s="11"/>
      <c r="F249" s="11"/>
      <c r="G249" s="11"/>
    </row>
    <row r="250" spans="1:7" x14ac:dyDescent="0.3">
      <c r="A250" s="17"/>
      <c r="B250" s="11"/>
      <c r="C250" s="30" t="str">
        <f>IF(B250="","",IFERROR(INDEX(Workers!$C$5:$C$44,MATCH(B250,Workers!$B$5:$B$44,0)),"no such ID"))</f>
        <v/>
      </c>
      <c r="D250" s="16"/>
      <c r="E250" s="11"/>
      <c r="F250" s="11"/>
      <c r="G250" s="11"/>
    </row>
    <row r="251" spans="1:7" x14ac:dyDescent="0.3">
      <c r="A251" s="17"/>
      <c r="B251" s="11"/>
      <c r="C251" s="30" t="str">
        <f>IF(B251="","",IFERROR(INDEX(Workers!$C$5:$C$44,MATCH(B251,Workers!$B$5:$B$44,0)),"no such ID"))</f>
        <v/>
      </c>
      <c r="D251" s="16"/>
      <c r="E251" s="11"/>
      <c r="F251" s="11"/>
      <c r="G251" s="11"/>
    </row>
    <row r="252" spans="1:7" x14ac:dyDescent="0.3">
      <c r="A252" s="17"/>
      <c r="B252" s="11"/>
      <c r="C252" s="30" t="str">
        <f>IF(B252="","",IFERROR(INDEX(Workers!$C$5:$C$44,MATCH(B252,Workers!$B$5:$B$44,0)),"no such ID"))</f>
        <v/>
      </c>
      <c r="D252" s="16"/>
      <c r="E252" s="11"/>
      <c r="F252" s="11"/>
      <c r="G252" s="11"/>
    </row>
    <row r="253" spans="1:7" x14ac:dyDescent="0.3">
      <c r="A253" s="17"/>
      <c r="B253" s="11"/>
      <c r="C253" s="30" t="str">
        <f>IF(B253="","",IFERROR(INDEX(Workers!$C$5:$C$44,MATCH(B253,Workers!$B$5:$B$44,0)),"no such ID"))</f>
        <v/>
      </c>
      <c r="D253" s="16"/>
      <c r="E253" s="11"/>
      <c r="F253" s="11"/>
      <c r="G253" s="11"/>
    </row>
    <row r="254" spans="1:7" x14ac:dyDescent="0.3">
      <c r="A254" s="17"/>
      <c r="B254" s="11"/>
      <c r="C254" s="30" t="str">
        <f>IF(B254="","",IFERROR(INDEX(Workers!$C$5:$C$44,MATCH(B254,Workers!$B$5:$B$44,0)),"no such ID"))</f>
        <v/>
      </c>
      <c r="D254" s="16"/>
      <c r="E254" s="11"/>
      <c r="F254" s="11"/>
      <c r="G254" s="11"/>
    </row>
    <row r="255" spans="1:7" x14ac:dyDescent="0.3">
      <c r="A255" s="17"/>
      <c r="B255" s="11"/>
      <c r="C255" s="30" t="str">
        <f>IF(B255="","",IFERROR(INDEX(Workers!$C$5:$C$44,MATCH(B255,Workers!$B$5:$B$44,0)),"no such ID"))</f>
        <v/>
      </c>
      <c r="D255" s="16"/>
      <c r="E255" s="11"/>
      <c r="F255" s="11"/>
      <c r="G255" s="11"/>
    </row>
    <row r="256" spans="1:7" x14ac:dyDescent="0.3">
      <c r="A256" s="17"/>
      <c r="B256" s="11"/>
      <c r="C256" s="30" t="str">
        <f>IF(B256="","",IFERROR(INDEX(Workers!$C$5:$C$44,MATCH(B256,Workers!$B$5:$B$44,0)),"no such ID"))</f>
        <v/>
      </c>
      <c r="D256" s="16"/>
      <c r="E256" s="11"/>
      <c r="F256" s="11"/>
      <c r="G256" s="11"/>
    </row>
    <row r="257" spans="1:7" x14ac:dyDescent="0.3">
      <c r="A257" s="17"/>
      <c r="B257" s="11"/>
      <c r="C257" s="30" t="str">
        <f>IF(B257="","",IFERROR(INDEX(Workers!$C$5:$C$44,MATCH(B257,Workers!$B$5:$B$44,0)),"no such ID"))</f>
        <v/>
      </c>
      <c r="D257" s="16"/>
      <c r="E257" s="11"/>
      <c r="F257" s="11"/>
      <c r="G257" s="11"/>
    </row>
    <row r="258" spans="1:7" x14ac:dyDescent="0.3">
      <c r="A258" s="17"/>
      <c r="B258" s="11"/>
      <c r="C258" s="30" t="str">
        <f>IF(B258="","",IFERROR(INDEX(Workers!$C$5:$C$44,MATCH(B258,Workers!$B$5:$B$44,0)),"no such ID"))</f>
        <v/>
      </c>
      <c r="D258" s="16"/>
      <c r="E258" s="11"/>
      <c r="F258" s="11"/>
      <c r="G258" s="11"/>
    </row>
    <row r="259" spans="1:7" x14ac:dyDescent="0.3">
      <c r="A259" s="17"/>
      <c r="B259" s="11"/>
      <c r="C259" s="30" t="str">
        <f>IF(B259="","",IFERROR(INDEX(Workers!$C$5:$C$44,MATCH(B259,Workers!$B$5:$B$44,0)),"no such ID"))</f>
        <v/>
      </c>
      <c r="D259" s="16"/>
      <c r="E259" s="11"/>
      <c r="F259" s="11"/>
      <c r="G259" s="11"/>
    </row>
    <row r="260" spans="1:7" x14ac:dyDescent="0.3">
      <c r="A260" s="17"/>
      <c r="B260" s="11"/>
      <c r="C260" s="30" t="str">
        <f>IF(B260="","",IFERROR(INDEX(Workers!$C$5:$C$44,MATCH(B260,Workers!$B$5:$B$44,0)),"no such ID"))</f>
        <v/>
      </c>
      <c r="D260" s="16"/>
      <c r="E260" s="11"/>
      <c r="F260" s="11"/>
      <c r="G260" s="11"/>
    </row>
    <row r="261" spans="1:7" x14ac:dyDescent="0.3">
      <c r="A261" s="17"/>
      <c r="B261" s="11"/>
      <c r="C261" s="30" t="str">
        <f>IF(B261="","",IFERROR(INDEX(Workers!$C$5:$C$44,MATCH(B261,Workers!$B$5:$B$44,0)),"no such ID"))</f>
        <v/>
      </c>
      <c r="D261" s="16"/>
      <c r="E261" s="11"/>
      <c r="F261" s="11"/>
      <c r="G261" s="11"/>
    </row>
    <row r="262" spans="1:7" x14ac:dyDescent="0.3">
      <c r="A262" s="17"/>
      <c r="B262" s="11"/>
      <c r="C262" s="30" t="str">
        <f>IF(B262="","",IFERROR(INDEX(Workers!$C$5:$C$44,MATCH(B262,Workers!$B$5:$B$44,0)),"no such ID"))</f>
        <v/>
      </c>
      <c r="D262" s="16"/>
      <c r="E262" s="11"/>
      <c r="F262" s="11"/>
      <c r="G262" s="11"/>
    </row>
    <row r="263" spans="1:7" x14ac:dyDescent="0.3">
      <c r="A263" s="17"/>
      <c r="B263" s="11"/>
      <c r="C263" s="30" t="str">
        <f>IF(B263="","",IFERROR(INDEX(Workers!$C$5:$C$44,MATCH(B263,Workers!$B$5:$B$44,0)),"no such ID"))</f>
        <v/>
      </c>
      <c r="D263" s="16"/>
      <c r="E263" s="11"/>
      <c r="F263" s="11"/>
      <c r="G263" s="11"/>
    </row>
    <row r="264" spans="1:7" x14ac:dyDescent="0.3">
      <c r="A264" s="17"/>
      <c r="B264" s="11"/>
      <c r="C264" s="30" t="str">
        <f>IF(B264="","",IFERROR(INDEX(Workers!$C$5:$C$44,MATCH(B264,Workers!$B$5:$B$44,0)),"no such ID"))</f>
        <v/>
      </c>
      <c r="D264" s="16"/>
      <c r="E264" s="11"/>
      <c r="F264" s="11"/>
      <c r="G264" s="11"/>
    </row>
    <row r="265" spans="1:7" x14ac:dyDescent="0.3">
      <c r="A265" s="17"/>
      <c r="B265" s="11"/>
      <c r="C265" s="30" t="str">
        <f>IF(B265="","",IFERROR(INDEX(Workers!$C$5:$C$44,MATCH(B265,Workers!$B$5:$B$44,0)),"no such ID"))</f>
        <v/>
      </c>
      <c r="D265" s="16"/>
      <c r="E265" s="11"/>
      <c r="F265" s="11"/>
      <c r="G265" s="11"/>
    </row>
    <row r="266" spans="1:7" x14ac:dyDescent="0.3">
      <c r="A266" s="17"/>
      <c r="B266" s="11"/>
      <c r="C266" s="30" t="str">
        <f>IF(B266="","",IFERROR(INDEX(Workers!$C$5:$C$44,MATCH(B266,Workers!$B$5:$B$44,0)),"no such ID"))</f>
        <v/>
      </c>
      <c r="D266" s="16"/>
      <c r="E266" s="11"/>
      <c r="F266" s="11"/>
      <c r="G266" s="11"/>
    </row>
    <row r="267" spans="1:7" x14ac:dyDescent="0.3">
      <c r="A267" s="17"/>
      <c r="B267" s="11"/>
      <c r="C267" s="30" t="str">
        <f>IF(B267="","",IFERROR(INDEX(Workers!$C$5:$C$44,MATCH(B267,Workers!$B$5:$B$44,0)),"no such ID"))</f>
        <v/>
      </c>
      <c r="D267" s="16"/>
      <c r="E267" s="11"/>
      <c r="F267" s="11"/>
      <c r="G267" s="11"/>
    </row>
    <row r="268" spans="1:7" x14ac:dyDescent="0.3">
      <c r="A268" s="17"/>
      <c r="B268" s="11"/>
      <c r="C268" s="30" t="str">
        <f>IF(B268="","",IFERROR(INDEX(Workers!$C$5:$C$44,MATCH(B268,Workers!$B$5:$B$44,0)),"no such ID"))</f>
        <v/>
      </c>
      <c r="D268" s="16"/>
      <c r="E268" s="11"/>
      <c r="F268" s="11"/>
      <c r="G268" s="11"/>
    </row>
    <row r="269" spans="1:7" x14ac:dyDescent="0.3">
      <c r="A269" s="17"/>
      <c r="B269" s="11"/>
      <c r="C269" s="30" t="str">
        <f>IF(B269="","",IFERROR(INDEX(Workers!$C$5:$C$44,MATCH(B269,Workers!$B$5:$B$44,0)),"no such ID"))</f>
        <v/>
      </c>
      <c r="D269" s="16"/>
      <c r="E269" s="11"/>
      <c r="F269" s="11"/>
      <c r="G269" s="11"/>
    </row>
    <row r="270" spans="1:7" x14ac:dyDescent="0.3">
      <c r="A270" s="17"/>
      <c r="B270" s="11"/>
      <c r="C270" s="30" t="str">
        <f>IF(B270="","",IFERROR(INDEX(Workers!$C$5:$C$44,MATCH(B270,Workers!$B$5:$B$44,0)),"no such ID"))</f>
        <v/>
      </c>
      <c r="D270" s="16"/>
      <c r="E270" s="11"/>
      <c r="F270" s="11"/>
      <c r="G270" s="11"/>
    </row>
    <row r="271" spans="1:7" x14ac:dyDescent="0.3">
      <c r="A271" s="17"/>
      <c r="B271" s="11"/>
      <c r="C271" s="30" t="str">
        <f>IF(B271="","",IFERROR(INDEX(Workers!$C$5:$C$44,MATCH(B271,Workers!$B$5:$B$44,0)),"no such ID"))</f>
        <v/>
      </c>
      <c r="D271" s="16"/>
      <c r="E271" s="11"/>
      <c r="F271" s="11"/>
      <c r="G271" s="11"/>
    </row>
    <row r="272" spans="1:7" x14ac:dyDescent="0.3">
      <c r="A272" s="17"/>
      <c r="B272" s="11"/>
      <c r="C272" s="30" t="str">
        <f>IF(B272="","",IFERROR(INDEX(Workers!$C$5:$C$44,MATCH(B272,Workers!$B$5:$B$44,0)),"no such ID"))</f>
        <v/>
      </c>
      <c r="D272" s="16"/>
      <c r="E272" s="11"/>
      <c r="F272" s="11"/>
      <c r="G272" s="11"/>
    </row>
    <row r="273" spans="1:7" x14ac:dyDescent="0.3">
      <c r="A273" s="17"/>
      <c r="B273" s="11"/>
      <c r="C273" s="30" t="str">
        <f>IF(B273="","",IFERROR(INDEX(Workers!$C$5:$C$44,MATCH(B273,Workers!$B$5:$B$44,0)),"no such ID"))</f>
        <v/>
      </c>
      <c r="D273" s="16"/>
      <c r="E273" s="11"/>
      <c r="F273" s="11"/>
      <c r="G273" s="11"/>
    </row>
    <row r="274" spans="1:7" x14ac:dyDescent="0.3">
      <c r="A274" s="17"/>
      <c r="B274" s="11"/>
      <c r="C274" s="30" t="str">
        <f>IF(B274="","",IFERROR(INDEX(Workers!$C$5:$C$44,MATCH(B274,Workers!$B$5:$B$44,0)),"no such ID"))</f>
        <v/>
      </c>
      <c r="D274" s="16"/>
      <c r="E274" s="11"/>
      <c r="F274" s="11"/>
      <c r="G274" s="11"/>
    </row>
    <row r="275" spans="1:7" x14ac:dyDescent="0.3">
      <c r="A275" s="17"/>
      <c r="B275" s="11"/>
      <c r="C275" s="30" t="str">
        <f>IF(B275="","",IFERROR(INDEX(Workers!$C$5:$C$44,MATCH(B275,Workers!$B$5:$B$44,0)),"no such ID"))</f>
        <v/>
      </c>
      <c r="D275" s="16"/>
      <c r="E275" s="11"/>
      <c r="F275" s="11"/>
      <c r="G275" s="11"/>
    </row>
    <row r="276" spans="1:7" x14ac:dyDescent="0.3">
      <c r="A276" s="17"/>
      <c r="B276" s="11"/>
      <c r="C276" s="30" t="str">
        <f>IF(B276="","",IFERROR(INDEX(Workers!$C$5:$C$44,MATCH(B276,Workers!$B$5:$B$44,0)),"no such ID"))</f>
        <v/>
      </c>
      <c r="D276" s="16"/>
      <c r="E276" s="11"/>
      <c r="F276" s="11"/>
      <c r="G276" s="11"/>
    </row>
    <row r="277" spans="1:7" x14ac:dyDescent="0.3">
      <c r="A277" s="17"/>
      <c r="B277" s="11"/>
      <c r="C277" s="30" t="str">
        <f>IF(B277="","",IFERROR(INDEX(Workers!$C$5:$C$44,MATCH(B277,Workers!$B$5:$B$44,0)),"no such ID"))</f>
        <v/>
      </c>
      <c r="D277" s="16"/>
      <c r="E277" s="11"/>
      <c r="F277" s="11"/>
      <c r="G277" s="11"/>
    </row>
    <row r="278" spans="1:7" x14ac:dyDescent="0.3">
      <c r="A278" s="17"/>
      <c r="B278" s="11"/>
      <c r="C278" s="30" t="str">
        <f>IF(B278="","",IFERROR(INDEX(Workers!$C$5:$C$44,MATCH(B278,Workers!$B$5:$B$44,0)),"no such ID"))</f>
        <v/>
      </c>
      <c r="D278" s="16"/>
      <c r="E278" s="11"/>
      <c r="F278" s="11"/>
      <c r="G278" s="11"/>
    </row>
    <row r="279" spans="1:7" x14ac:dyDescent="0.3">
      <c r="A279" s="17"/>
      <c r="B279" s="11"/>
      <c r="C279" s="30" t="str">
        <f>IF(B279="","",IFERROR(INDEX(Workers!$C$5:$C$44,MATCH(B279,Workers!$B$5:$B$44,0)),"no such ID"))</f>
        <v/>
      </c>
      <c r="D279" s="16"/>
      <c r="E279" s="11"/>
      <c r="F279" s="11"/>
      <c r="G279" s="11"/>
    </row>
    <row r="280" spans="1:7" x14ac:dyDescent="0.3">
      <c r="A280" s="17"/>
      <c r="B280" s="11"/>
      <c r="C280" s="30" t="str">
        <f>IF(B280="","",IFERROR(INDEX(Workers!$C$5:$C$44,MATCH(B280,Workers!$B$5:$B$44,0)),"no such ID"))</f>
        <v/>
      </c>
      <c r="D280" s="16"/>
      <c r="E280" s="11"/>
      <c r="F280" s="11"/>
      <c r="G280" s="11"/>
    </row>
    <row r="281" spans="1:7" x14ac:dyDescent="0.3">
      <c r="A281" s="17"/>
      <c r="B281" s="11"/>
      <c r="C281" s="30" t="str">
        <f>IF(B281="","",IFERROR(INDEX(Workers!$C$5:$C$44,MATCH(B281,Workers!$B$5:$B$44,0)),"no such ID"))</f>
        <v/>
      </c>
      <c r="D281" s="16"/>
      <c r="E281" s="11"/>
      <c r="F281" s="11"/>
      <c r="G281" s="11"/>
    </row>
    <row r="282" spans="1:7" x14ac:dyDescent="0.3">
      <c r="A282" s="17"/>
      <c r="B282" s="11"/>
      <c r="C282" s="30" t="str">
        <f>IF(B282="","",IFERROR(INDEX(Workers!$C$5:$C$44,MATCH(B282,Workers!$B$5:$B$44,0)),"no such ID"))</f>
        <v/>
      </c>
      <c r="D282" s="16"/>
      <c r="E282" s="11"/>
      <c r="F282" s="11"/>
      <c r="G282" s="11"/>
    </row>
    <row r="283" spans="1:7" x14ac:dyDescent="0.3">
      <c r="A283" s="17"/>
      <c r="B283" s="11"/>
      <c r="C283" s="30" t="str">
        <f>IF(B283="","",IFERROR(INDEX(Workers!$C$5:$C$44,MATCH(B283,Workers!$B$5:$B$44,0)),"no such ID"))</f>
        <v/>
      </c>
      <c r="D283" s="16"/>
      <c r="E283" s="11"/>
      <c r="F283" s="11"/>
      <c r="G283" s="11"/>
    </row>
    <row r="284" spans="1:7" x14ac:dyDescent="0.3">
      <c r="A284" s="17"/>
      <c r="B284" s="11"/>
      <c r="C284" s="30" t="str">
        <f>IF(B284="","",IFERROR(INDEX(Workers!$C$5:$C$44,MATCH(B284,Workers!$B$5:$B$44,0)),"no such ID"))</f>
        <v/>
      </c>
      <c r="D284" s="16"/>
      <c r="E284" s="11"/>
      <c r="F284" s="11"/>
      <c r="G284" s="11"/>
    </row>
    <row r="285" spans="1:7" x14ac:dyDescent="0.3">
      <c r="A285" s="17"/>
      <c r="B285" s="11"/>
      <c r="C285" s="30" t="str">
        <f>IF(B285="","",IFERROR(INDEX(Workers!$C$5:$C$44,MATCH(B285,Workers!$B$5:$B$44,0)),"no such ID"))</f>
        <v/>
      </c>
      <c r="D285" s="16"/>
      <c r="E285" s="11"/>
      <c r="F285" s="11"/>
      <c r="G285" s="11"/>
    </row>
    <row r="286" spans="1:7" x14ac:dyDescent="0.3">
      <c r="A286" s="17"/>
      <c r="B286" s="11"/>
      <c r="C286" s="30" t="str">
        <f>IF(B286="","",IFERROR(INDEX(Workers!$C$5:$C$44,MATCH(B286,Workers!$B$5:$B$44,0)),"no such ID"))</f>
        <v/>
      </c>
      <c r="D286" s="16"/>
      <c r="E286" s="11"/>
      <c r="F286" s="11"/>
      <c r="G286" s="11"/>
    </row>
    <row r="287" spans="1:7" x14ac:dyDescent="0.3">
      <c r="A287" s="17"/>
      <c r="B287" s="11"/>
      <c r="C287" s="30" t="str">
        <f>IF(B287="","",IFERROR(INDEX(Workers!$C$5:$C$44,MATCH(B287,Workers!$B$5:$B$44,0)),"no such ID"))</f>
        <v/>
      </c>
      <c r="D287" s="16"/>
      <c r="E287" s="11"/>
      <c r="F287" s="11"/>
      <c r="G287" s="11"/>
    </row>
    <row r="288" spans="1:7" x14ac:dyDescent="0.3">
      <c r="A288" s="17"/>
      <c r="B288" s="11"/>
      <c r="C288" s="30" t="str">
        <f>IF(B288="","",IFERROR(INDEX(Workers!$C$5:$C$44,MATCH(B288,Workers!$B$5:$B$44,0)),"no such ID"))</f>
        <v/>
      </c>
      <c r="D288" s="16"/>
      <c r="E288" s="11"/>
      <c r="F288" s="11"/>
      <c r="G288" s="11"/>
    </row>
    <row r="289" spans="1:7" x14ac:dyDescent="0.3">
      <c r="A289" s="17"/>
      <c r="B289" s="11"/>
      <c r="C289" s="30" t="str">
        <f>IF(B289="","",IFERROR(INDEX(Workers!$C$5:$C$44,MATCH(B289,Workers!$B$5:$B$44,0)),"no such ID"))</f>
        <v/>
      </c>
      <c r="D289" s="16"/>
      <c r="E289" s="11"/>
      <c r="F289" s="11"/>
      <c r="G289" s="11"/>
    </row>
    <row r="290" spans="1:7" x14ac:dyDescent="0.3">
      <c r="A290" s="17"/>
      <c r="B290" s="11"/>
      <c r="C290" s="30" t="str">
        <f>IF(B290="","",IFERROR(INDEX(Workers!$C$5:$C$44,MATCH(B290,Workers!$B$5:$B$44,0)),"no such ID"))</f>
        <v/>
      </c>
      <c r="D290" s="16"/>
      <c r="E290" s="11"/>
      <c r="F290" s="11"/>
      <c r="G290" s="11"/>
    </row>
    <row r="291" spans="1:7" x14ac:dyDescent="0.3">
      <c r="A291" s="17"/>
      <c r="B291" s="11"/>
      <c r="C291" s="30" t="str">
        <f>IF(B291="","",IFERROR(INDEX(Workers!$C$5:$C$44,MATCH(B291,Workers!$B$5:$B$44,0)),"no such ID"))</f>
        <v/>
      </c>
      <c r="D291" s="16"/>
      <c r="E291" s="11"/>
      <c r="F291" s="11"/>
      <c r="G291" s="11"/>
    </row>
    <row r="292" spans="1:7" x14ac:dyDescent="0.3">
      <c r="A292" s="17"/>
      <c r="B292" s="11"/>
      <c r="C292" s="30" t="str">
        <f>IF(B292="","",IFERROR(INDEX(Workers!$C$5:$C$44,MATCH(B292,Workers!$B$5:$B$44,0)),"no such ID"))</f>
        <v/>
      </c>
      <c r="D292" s="16"/>
      <c r="E292" s="11"/>
      <c r="F292" s="11"/>
      <c r="G292" s="11"/>
    </row>
    <row r="293" spans="1:7" x14ac:dyDescent="0.3">
      <c r="A293" s="17"/>
      <c r="B293" s="11"/>
      <c r="C293" s="30" t="str">
        <f>IF(B293="","",IFERROR(INDEX(Workers!$C$5:$C$44,MATCH(B293,Workers!$B$5:$B$44,0)),"no such ID"))</f>
        <v/>
      </c>
      <c r="D293" s="16"/>
      <c r="E293" s="11"/>
      <c r="F293" s="11"/>
      <c r="G293" s="11"/>
    </row>
    <row r="294" spans="1:7" x14ac:dyDescent="0.3">
      <c r="A294" s="17"/>
      <c r="B294" s="11"/>
      <c r="C294" s="30" t="str">
        <f>IF(B294="","",IFERROR(INDEX(Workers!$C$5:$C$44,MATCH(B294,Workers!$B$5:$B$44,0)),"no such ID"))</f>
        <v/>
      </c>
      <c r="D294" s="16"/>
      <c r="E294" s="11"/>
      <c r="F294" s="11"/>
      <c r="G294" s="11"/>
    </row>
    <row r="295" spans="1:7" x14ac:dyDescent="0.3">
      <c r="A295" s="17"/>
      <c r="B295" s="11"/>
      <c r="C295" s="30" t="str">
        <f>IF(B295="","",IFERROR(INDEX(Workers!$C$5:$C$44,MATCH(B295,Workers!$B$5:$B$44,0)),"no such ID"))</f>
        <v/>
      </c>
      <c r="D295" s="16"/>
      <c r="E295" s="11"/>
      <c r="F295" s="11"/>
      <c r="G295" s="11"/>
    </row>
    <row r="296" spans="1:7" x14ac:dyDescent="0.3">
      <c r="A296" s="17"/>
      <c r="B296" s="11"/>
      <c r="C296" s="30" t="str">
        <f>IF(B296="","",IFERROR(INDEX(Workers!$C$5:$C$44,MATCH(B296,Workers!$B$5:$B$44,0)),"no such ID"))</f>
        <v/>
      </c>
      <c r="D296" s="16"/>
      <c r="E296" s="11"/>
      <c r="F296" s="11"/>
      <c r="G296" s="11"/>
    </row>
    <row r="297" spans="1:7" x14ac:dyDescent="0.3">
      <c r="A297" s="17"/>
      <c r="B297" s="11"/>
      <c r="C297" s="30" t="str">
        <f>IF(B297="","",IFERROR(INDEX(Workers!$C$5:$C$44,MATCH(B297,Workers!$B$5:$B$44,0)),"no such ID"))</f>
        <v/>
      </c>
      <c r="D297" s="16"/>
      <c r="E297" s="11"/>
      <c r="F297" s="11"/>
      <c r="G297" s="11"/>
    </row>
    <row r="298" spans="1:7" x14ac:dyDescent="0.3">
      <c r="A298" s="17"/>
      <c r="B298" s="11"/>
      <c r="C298" s="30" t="str">
        <f>IF(B298="","",IFERROR(INDEX(Workers!$C$5:$C$44,MATCH(B298,Workers!$B$5:$B$44,0)),"no such ID"))</f>
        <v/>
      </c>
      <c r="D298" s="16"/>
      <c r="E298" s="11"/>
      <c r="F298" s="11"/>
      <c r="G298" s="11"/>
    </row>
    <row r="299" spans="1:7" x14ac:dyDescent="0.3">
      <c r="A299" s="17"/>
      <c r="B299" s="11"/>
      <c r="C299" s="30" t="str">
        <f>IF(B299="","",IFERROR(INDEX(Workers!$C$5:$C$44,MATCH(B299,Workers!$B$5:$B$44,0)),"no such ID"))</f>
        <v/>
      </c>
      <c r="D299" s="16"/>
      <c r="E299" s="11"/>
      <c r="F299" s="11"/>
      <c r="G299" s="11"/>
    </row>
    <row r="300" spans="1:7" x14ac:dyDescent="0.3">
      <c r="A300" s="17"/>
      <c r="B300" s="11"/>
      <c r="C300" s="30" t="str">
        <f>IF(B300="","",IFERROR(INDEX(Workers!$C$5:$C$44,MATCH(B300,Workers!$B$5:$B$44,0)),"no such ID"))</f>
        <v/>
      </c>
      <c r="D300" s="16"/>
      <c r="E300" s="11"/>
      <c r="F300" s="11"/>
      <c r="G300" s="11"/>
    </row>
    <row r="301" spans="1:7" x14ac:dyDescent="0.3">
      <c r="A301" s="17"/>
      <c r="B301" s="11"/>
      <c r="C301" s="30" t="str">
        <f>IF(B301="","",IFERROR(INDEX(Workers!$C$5:$C$44,MATCH(B301,Workers!$B$5:$B$44,0)),"no such ID"))</f>
        <v/>
      </c>
      <c r="D301" s="16"/>
      <c r="E301" s="11"/>
      <c r="F301" s="11"/>
      <c r="G301" s="11"/>
    </row>
    <row r="302" spans="1:7" x14ac:dyDescent="0.3">
      <c r="A302" s="17"/>
      <c r="B302" s="11"/>
      <c r="C302" s="30" t="str">
        <f>IF(B302="","",IFERROR(INDEX(Workers!$C$5:$C$44,MATCH(B302,Workers!$B$5:$B$44,0)),"no such ID"))</f>
        <v/>
      </c>
      <c r="D302" s="16"/>
      <c r="E302" s="11"/>
      <c r="F302" s="11"/>
      <c r="G302" s="11"/>
    </row>
    <row r="303" spans="1:7" x14ac:dyDescent="0.3">
      <c r="A303" s="17"/>
      <c r="B303" s="11"/>
      <c r="C303" s="30" t="str">
        <f>IF(B303="","",IFERROR(INDEX(Workers!$C$5:$C$44,MATCH(B303,Workers!$B$5:$B$44,0)),"no such ID"))</f>
        <v/>
      </c>
      <c r="D303" s="16"/>
      <c r="E303" s="11"/>
      <c r="F303" s="11"/>
      <c r="G303" s="11"/>
    </row>
    <row r="304" spans="1:7" x14ac:dyDescent="0.3">
      <c r="A304" s="17"/>
      <c r="B304" s="11"/>
      <c r="C304" s="30" t="str">
        <f>IF(B304="","",IFERROR(INDEX(Workers!$C$5:$C$44,MATCH(B304,Workers!$B$5:$B$44,0)),"no such ID"))</f>
        <v/>
      </c>
      <c r="D304" s="16"/>
      <c r="E304" s="11"/>
      <c r="F304" s="11"/>
      <c r="G304" s="11"/>
    </row>
  </sheetData>
  <autoFilter ref="A4:G304" xr:uid="{00000000-0009-0000-0000-00000F000000}"/>
  <dataValidations count="2">
    <dataValidation type="list" allowBlank="1" sqref="E5:E304" xr:uid="{00000000-0002-0000-0F00-000001000000}">
      <formula1>"Wage,Advance"</formula1>
    </dataValidation>
    <dataValidation type="list" allowBlank="1" sqref="F5:F304" xr:uid="{00000000-0002-0000-0F00-000002000000}">
      <formula1>"Cash,UPI,Bank transfer"</formula1>
    </dataValidation>
  </dataValidations>
  <printOptions horizontalCentered="1"/>
  <pageMargins left="0.45" right="0.45" top="0.6" bottom="0.6" header="0.3" footer="0.3"/>
  <pageSetup paperSize="9" scale="73" fitToHeight="0" orientation="portrait" r:id="rId1"/>
  <headerFooter>
    <oddFooter>&amp;L&amp;8Free from NirmanDost - nirmandost.in - sign up for more free tools&amp;R&amp;8Page &amp;P of &amp;N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00000000-0002-0000-0F00-000000000000}">
          <x14:formula1>
            <xm:f>Workers!$B$5:$B$44</xm:f>
          </x14:formula1>
          <xm:sqref>B5:B304</xm:sqref>
        </x14:dataValidation>
      </x14:dataValidations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46"/>
  <sheetViews>
    <sheetView showGridLines="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4.4" x14ac:dyDescent="0.3"/>
  <cols>
    <col min="1" max="1" width="22" customWidth="1"/>
    <col min="2" max="13" width="7.44140625" customWidth="1"/>
    <col min="14" max="14" width="8" customWidth="1"/>
    <col min="15" max="26" width="10" customWidth="1"/>
    <col min="27" max="27" width="12" customWidth="1"/>
  </cols>
  <sheetData>
    <row r="1" spans="1:27" ht="21" x14ac:dyDescent="0.4">
      <c r="A1" s="8" t="s">
        <v>98</v>
      </c>
    </row>
    <row r="2" spans="1:27" x14ac:dyDescent="0.3">
      <c r="A2" s="2" t="s">
        <v>99</v>
      </c>
    </row>
    <row r="3" spans="1:27" x14ac:dyDescent="0.3">
      <c r="A3" s="5" t="str">
        <f>"Year "&amp;Setup!$B$4&amp;"   "&amp;Setup!$B$5</f>
        <v>Year 2026   Type the site name</v>
      </c>
    </row>
    <row r="5" spans="1:27" ht="30" customHeight="1" x14ac:dyDescent="0.3">
      <c r="A5" s="13" t="s">
        <v>100</v>
      </c>
      <c r="B5" s="13" t="s">
        <v>101</v>
      </c>
      <c r="C5" s="13" t="s">
        <v>102</v>
      </c>
      <c r="D5" s="13" t="s">
        <v>103</v>
      </c>
      <c r="E5" s="13" t="s">
        <v>104</v>
      </c>
      <c r="F5" s="13" t="s">
        <v>105</v>
      </c>
      <c r="G5" s="13" t="s">
        <v>106</v>
      </c>
      <c r="H5" s="13" t="s">
        <v>107</v>
      </c>
      <c r="I5" s="13" t="s">
        <v>108</v>
      </c>
      <c r="J5" s="13" t="s">
        <v>109</v>
      </c>
      <c r="K5" s="13" t="s">
        <v>110</v>
      </c>
      <c r="L5" s="13" t="s">
        <v>111</v>
      </c>
      <c r="M5" s="13" t="s">
        <v>112</v>
      </c>
      <c r="N5" s="13" t="s">
        <v>83</v>
      </c>
      <c r="O5" s="13" t="s">
        <v>113</v>
      </c>
      <c r="P5" s="13" t="s">
        <v>114</v>
      </c>
      <c r="Q5" s="13" t="s">
        <v>115</v>
      </c>
      <c r="R5" s="13" t="s">
        <v>116</v>
      </c>
      <c r="S5" s="13" t="s">
        <v>117</v>
      </c>
      <c r="T5" s="13" t="s">
        <v>118</v>
      </c>
      <c r="U5" s="13" t="s">
        <v>119</v>
      </c>
      <c r="V5" s="13" t="s">
        <v>120</v>
      </c>
      <c r="W5" s="13" t="s">
        <v>121</v>
      </c>
      <c r="X5" s="13" t="s">
        <v>122</v>
      </c>
      <c r="Y5" s="13" t="s">
        <v>123</v>
      </c>
      <c r="Z5" s="13" t="s">
        <v>124</v>
      </c>
      <c r="AA5" s="13" t="s">
        <v>125</v>
      </c>
    </row>
    <row r="6" spans="1:27" x14ac:dyDescent="0.3">
      <c r="A6" s="21" t="str">
        <f>IF(INDEX(Workers!$C:$C,5)="","",INDEX(Workers!$C:$C,5))</f>
        <v>Ramesh (EXAMPLE, clear me)</v>
      </c>
      <c r="B6" s="24">
        <f>IF($A6="","",Jan!AJ5)</f>
        <v>0</v>
      </c>
      <c r="C6" s="24">
        <f>IF($A6="","",Feb!AJ5)</f>
        <v>0</v>
      </c>
      <c r="D6" s="24">
        <f>IF($A6="","",Mar!AJ5)</f>
        <v>0</v>
      </c>
      <c r="E6" s="24">
        <f>IF($A6="","",Apr!AJ5)</f>
        <v>0</v>
      </c>
      <c r="F6" s="24">
        <f>IF($A6="","",May!AJ5)</f>
        <v>0</v>
      </c>
      <c r="G6" s="24">
        <f>IF($A6="","",Jun!AJ5)</f>
        <v>0</v>
      </c>
      <c r="H6" s="24">
        <f>IF($A6="","",Jul!AJ5)</f>
        <v>0</v>
      </c>
      <c r="I6" s="24">
        <f>IF($A6="","",Aug!AJ5)</f>
        <v>0</v>
      </c>
      <c r="J6" s="24">
        <f>IF($A6="","",Sep!AJ5)</f>
        <v>0</v>
      </c>
      <c r="K6" s="24">
        <f>IF($A6="","",Oct!AJ5)</f>
        <v>0</v>
      </c>
      <c r="L6" s="24">
        <f>IF($A6="","",Nov!AJ5)</f>
        <v>0</v>
      </c>
      <c r="M6" s="24">
        <f>IF($A6="","",Dec!AJ5)</f>
        <v>0</v>
      </c>
      <c r="N6" s="24">
        <f t="shared" ref="N6:N45" si="0">IF($A6="","",SUM(B6:M6))</f>
        <v>0</v>
      </c>
      <c r="O6" s="25">
        <f>IF($A6="","",Jan!AL5)</f>
        <v>0</v>
      </c>
      <c r="P6" s="25">
        <f>IF($A6="","",Feb!AL5)</f>
        <v>0</v>
      </c>
      <c r="Q6" s="25">
        <f>IF($A6="","",Mar!AL5)</f>
        <v>0</v>
      </c>
      <c r="R6" s="25">
        <f>IF($A6="","",Apr!AL5)</f>
        <v>0</v>
      </c>
      <c r="S6" s="25">
        <f>IF($A6="","",May!AL5)</f>
        <v>0</v>
      </c>
      <c r="T6" s="25">
        <f>IF($A6="","",Jun!AL5)</f>
        <v>0</v>
      </c>
      <c r="U6" s="25">
        <f>IF($A6="","",Jul!AL5)</f>
        <v>0</v>
      </c>
      <c r="V6" s="25">
        <f>IF($A6="","",Aug!AL5)</f>
        <v>0</v>
      </c>
      <c r="W6" s="25">
        <f>IF($A6="","",Sep!AL5)</f>
        <v>0</v>
      </c>
      <c r="X6" s="25">
        <f>IF($A6="","",Oct!AL5)</f>
        <v>0</v>
      </c>
      <c r="Y6" s="25">
        <f>IF($A6="","",Nov!AL5)</f>
        <v>0</v>
      </c>
      <c r="Z6" s="25">
        <f>IF($A6="","",Dec!AL5)</f>
        <v>0</v>
      </c>
      <c r="AA6" s="25">
        <f t="shared" ref="AA6:AA45" si="1">IF($A6="","",SUM(O6:Z6))</f>
        <v>0</v>
      </c>
    </row>
    <row r="7" spans="1:27" x14ac:dyDescent="0.3">
      <c r="A7" s="21" t="str">
        <f>IF(INDEX(Workers!$C:$C,6)="","",INDEX(Workers!$C:$C,6))</f>
        <v/>
      </c>
      <c r="B7" s="24" t="str">
        <f>IF($A7="","",Jan!AJ6)</f>
        <v/>
      </c>
      <c r="C7" s="24" t="str">
        <f>IF($A7="","",Feb!AJ6)</f>
        <v/>
      </c>
      <c r="D7" s="24" t="str">
        <f>IF($A7="","",Mar!AJ6)</f>
        <v/>
      </c>
      <c r="E7" s="24" t="str">
        <f>IF($A7="","",Apr!AJ6)</f>
        <v/>
      </c>
      <c r="F7" s="24" t="str">
        <f>IF($A7="","",May!AJ6)</f>
        <v/>
      </c>
      <c r="G7" s="24" t="str">
        <f>IF($A7="","",Jun!AJ6)</f>
        <v/>
      </c>
      <c r="H7" s="24" t="str">
        <f>IF($A7="","",Jul!AJ6)</f>
        <v/>
      </c>
      <c r="I7" s="24" t="str">
        <f>IF($A7="","",Aug!AJ6)</f>
        <v/>
      </c>
      <c r="J7" s="24" t="str">
        <f>IF($A7="","",Sep!AJ6)</f>
        <v/>
      </c>
      <c r="K7" s="24" t="str">
        <f>IF($A7="","",Oct!AJ6)</f>
        <v/>
      </c>
      <c r="L7" s="24" t="str">
        <f>IF($A7="","",Nov!AJ6)</f>
        <v/>
      </c>
      <c r="M7" s="24" t="str">
        <f>IF($A7="","",Dec!AJ6)</f>
        <v/>
      </c>
      <c r="N7" s="24" t="str">
        <f t="shared" si="0"/>
        <v/>
      </c>
      <c r="O7" s="25" t="str">
        <f>IF($A7="","",Jan!AL6)</f>
        <v/>
      </c>
      <c r="P7" s="25" t="str">
        <f>IF($A7="","",Feb!AL6)</f>
        <v/>
      </c>
      <c r="Q7" s="25" t="str">
        <f>IF($A7="","",Mar!AL6)</f>
        <v/>
      </c>
      <c r="R7" s="25" t="str">
        <f>IF($A7="","",Apr!AL6)</f>
        <v/>
      </c>
      <c r="S7" s="25" t="str">
        <f>IF($A7="","",May!AL6)</f>
        <v/>
      </c>
      <c r="T7" s="25" t="str">
        <f>IF($A7="","",Jun!AL6)</f>
        <v/>
      </c>
      <c r="U7" s="25" t="str">
        <f>IF($A7="","",Jul!AL6)</f>
        <v/>
      </c>
      <c r="V7" s="25" t="str">
        <f>IF($A7="","",Aug!AL6)</f>
        <v/>
      </c>
      <c r="W7" s="25" t="str">
        <f>IF($A7="","",Sep!AL6)</f>
        <v/>
      </c>
      <c r="X7" s="25" t="str">
        <f>IF($A7="","",Oct!AL6)</f>
        <v/>
      </c>
      <c r="Y7" s="25" t="str">
        <f>IF($A7="","",Nov!AL6)</f>
        <v/>
      </c>
      <c r="Z7" s="25" t="str">
        <f>IF($A7="","",Dec!AL6)</f>
        <v/>
      </c>
      <c r="AA7" s="25" t="str">
        <f t="shared" si="1"/>
        <v/>
      </c>
    </row>
    <row r="8" spans="1:27" x14ac:dyDescent="0.3">
      <c r="A8" s="21" t="str">
        <f>IF(INDEX(Workers!$C:$C,7)="","",INDEX(Workers!$C:$C,7))</f>
        <v/>
      </c>
      <c r="B8" s="24" t="str">
        <f>IF($A8="","",Jan!AJ7)</f>
        <v/>
      </c>
      <c r="C8" s="24" t="str">
        <f>IF($A8="","",Feb!AJ7)</f>
        <v/>
      </c>
      <c r="D8" s="24" t="str">
        <f>IF($A8="","",Mar!AJ7)</f>
        <v/>
      </c>
      <c r="E8" s="24" t="str">
        <f>IF($A8="","",Apr!AJ7)</f>
        <v/>
      </c>
      <c r="F8" s="24" t="str">
        <f>IF($A8="","",May!AJ7)</f>
        <v/>
      </c>
      <c r="G8" s="24" t="str">
        <f>IF($A8="","",Jun!AJ7)</f>
        <v/>
      </c>
      <c r="H8" s="24" t="str">
        <f>IF($A8="","",Jul!AJ7)</f>
        <v/>
      </c>
      <c r="I8" s="24" t="str">
        <f>IF($A8="","",Aug!AJ7)</f>
        <v/>
      </c>
      <c r="J8" s="24" t="str">
        <f>IF($A8="","",Sep!AJ7)</f>
        <v/>
      </c>
      <c r="K8" s="24" t="str">
        <f>IF($A8="","",Oct!AJ7)</f>
        <v/>
      </c>
      <c r="L8" s="24" t="str">
        <f>IF($A8="","",Nov!AJ7)</f>
        <v/>
      </c>
      <c r="M8" s="24" t="str">
        <f>IF($A8="","",Dec!AJ7)</f>
        <v/>
      </c>
      <c r="N8" s="24" t="str">
        <f t="shared" si="0"/>
        <v/>
      </c>
      <c r="O8" s="25" t="str">
        <f>IF($A8="","",Jan!AL7)</f>
        <v/>
      </c>
      <c r="P8" s="25" t="str">
        <f>IF($A8="","",Feb!AL7)</f>
        <v/>
      </c>
      <c r="Q8" s="25" t="str">
        <f>IF($A8="","",Mar!AL7)</f>
        <v/>
      </c>
      <c r="R8" s="25" t="str">
        <f>IF($A8="","",Apr!AL7)</f>
        <v/>
      </c>
      <c r="S8" s="25" t="str">
        <f>IF($A8="","",May!AL7)</f>
        <v/>
      </c>
      <c r="T8" s="25" t="str">
        <f>IF($A8="","",Jun!AL7)</f>
        <v/>
      </c>
      <c r="U8" s="25" t="str">
        <f>IF($A8="","",Jul!AL7)</f>
        <v/>
      </c>
      <c r="V8" s="25" t="str">
        <f>IF($A8="","",Aug!AL7)</f>
        <v/>
      </c>
      <c r="W8" s="25" t="str">
        <f>IF($A8="","",Sep!AL7)</f>
        <v/>
      </c>
      <c r="X8" s="25" t="str">
        <f>IF($A8="","",Oct!AL7)</f>
        <v/>
      </c>
      <c r="Y8" s="25" t="str">
        <f>IF($A8="","",Nov!AL7)</f>
        <v/>
      </c>
      <c r="Z8" s="25" t="str">
        <f>IF($A8="","",Dec!AL7)</f>
        <v/>
      </c>
      <c r="AA8" s="25" t="str">
        <f t="shared" si="1"/>
        <v/>
      </c>
    </row>
    <row r="9" spans="1:27" x14ac:dyDescent="0.3">
      <c r="A9" s="21" t="str">
        <f>IF(INDEX(Workers!$C:$C,8)="","",INDEX(Workers!$C:$C,8))</f>
        <v/>
      </c>
      <c r="B9" s="24" t="str">
        <f>IF($A9="","",Jan!AJ8)</f>
        <v/>
      </c>
      <c r="C9" s="24" t="str">
        <f>IF($A9="","",Feb!AJ8)</f>
        <v/>
      </c>
      <c r="D9" s="24" t="str">
        <f>IF($A9="","",Mar!AJ8)</f>
        <v/>
      </c>
      <c r="E9" s="24" t="str">
        <f>IF($A9="","",Apr!AJ8)</f>
        <v/>
      </c>
      <c r="F9" s="24" t="str">
        <f>IF($A9="","",May!AJ8)</f>
        <v/>
      </c>
      <c r="G9" s="24" t="str">
        <f>IF($A9="","",Jun!AJ8)</f>
        <v/>
      </c>
      <c r="H9" s="24" t="str">
        <f>IF($A9="","",Jul!AJ8)</f>
        <v/>
      </c>
      <c r="I9" s="24" t="str">
        <f>IF($A9="","",Aug!AJ8)</f>
        <v/>
      </c>
      <c r="J9" s="24" t="str">
        <f>IF($A9="","",Sep!AJ8)</f>
        <v/>
      </c>
      <c r="K9" s="24" t="str">
        <f>IF($A9="","",Oct!AJ8)</f>
        <v/>
      </c>
      <c r="L9" s="24" t="str">
        <f>IF($A9="","",Nov!AJ8)</f>
        <v/>
      </c>
      <c r="M9" s="24" t="str">
        <f>IF($A9="","",Dec!AJ8)</f>
        <v/>
      </c>
      <c r="N9" s="24" t="str">
        <f t="shared" si="0"/>
        <v/>
      </c>
      <c r="O9" s="25" t="str">
        <f>IF($A9="","",Jan!AL8)</f>
        <v/>
      </c>
      <c r="P9" s="25" t="str">
        <f>IF($A9="","",Feb!AL8)</f>
        <v/>
      </c>
      <c r="Q9" s="25" t="str">
        <f>IF($A9="","",Mar!AL8)</f>
        <v/>
      </c>
      <c r="R9" s="25" t="str">
        <f>IF($A9="","",Apr!AL8)</f>
        <v/>
      </c>
      <c r="S9" s="25" t="str">
        <f>IF($A9="","",May!AL8)</f>
        <v/>
      </c>
      <c r="T9" s="25" t="str">
        <f>IF($A9="","",Jun!AL8)</f>
        <v/>
      </c>
      <c r="U9" s="25" t="str">
        <f>IF($A9="","",Jul!AL8)</f>
        <v/>
      </c>
      <c r="V9" s="25" t="str">
        <f>IF($A9="","",Aug!AL8)</f>
        <v/>
      </c>
      <c r="W9" s="25" t="str">
        <f>IF($A9="","",Sep!AL8)</f>
        <v/>
      </c>
      <c r="X9" s="25" t="str">
        <f>IF($A9="","",Oct!AL8)</f>
        <v/>
      </c>
      <c r="Y9" s="25" t="str">
        <f>IF($A9="","",Nov!AL8)</f>
        <v/>
      </c>
      <c r="Z9" s="25" t="str">
        <f>IF($A9="","",Dec!AL8)</f>
        <v/>
      </c>
      <c r="AA9" s="25" t="str">
        <f t="shared" si="1"/>
        <v/>
      </c>
    </row>
    <row r="10" spans="1:27" x14ac:dyDescent="0.3">
      <c r="A10" s="21" t="str">
        <f>IF(INDEX(Workers!$C:$C,9)="","",INDEX(Workers!$C:$C,9))</f>
        <v/>
      </c>
      <c r="B10" s="24" t="str">
        <f>IF($A10="","",Jan!AJ9)</f>
        <v/>
      </c>
      <c r="C10" s="24" t="str">
        <f>IF($A10="","",Feb!AJ9)</f>
        <v/>
      </c>
      <c r="D10" s="24" t="str">
        <f>IF($A10="","",Mar!AJ9)</f>
        <v/>
      </c>
      <c r="E10" s="24" t="str">
        <f>IF($A10="","",Apr!AJ9)</f>
        <v/>
      </c>
      <c r="F10" s="24" t="str">
        <f>IF($A10="","",May!AJ9)</f>
        <v/>
      </c>
      <c r="G10" s="24" t="str">
        <f>IF($A10="","",Jun!AJ9)</f>
        <v/>
      </c>
      <c r="H10" s="24" t="str">
        <f>IF($A10="","",Jul!AJ9)</f>
        <v/>
      </c>
      <c r="I10" s="24" t="str">
        <f>IF($A10="","",Aug!AJ9)</f>
        <v/>
      </c>
      <c r="J10" s="24" t="str">
        <f>IF($A10="","",Sep!AJ9)</f>
        <v/>
      </c>
      <c r="K10" s="24" t="str">
        <f>IF($A10="","",Oct!AJ9)</f>
        <v/>
      </c>
      <c r="L10" s="24" t="str">
        <f>IF($A10="","",Nov!AJ9)</f>
        <v/>
      </c>
      <c r="M10" s="24" t="str">
        <f>IF($A10="","",Dec!AJ9)</f>
        <v/>
      </c>
      <c r="N10" s="24" t="str">
        <f t="shared" si="0"/>
        <v/>
      </c>
      <c r="O10" s="25" t="str">
        <f>IF($A10="","",Jan!AL9)</f>
        <v/>
      </c>
      <c r="P10" s="25" t="str">
        <f>IF($A10="","",Feb!AL9)</f>
        <v/>
      </c>
      <c r="Q10" s="25" t="str">
        <f>IF($A10="","",Mar!AL9)</f>
        <v/>
      </c>
      <c r="R10" s="25" t="str">
        <f>IF($A10="","",Apr!AL9)</f>
        <v/>
      </c>
      <c r="S10" s="25" t="str">
        <f>IF($A10="","",May!AL9)</f>
        <v/>
      </c>
      <c r="T10" s="25" t="str">
        <f>IF($A10="","",Jun!AL9)</f>
        <v/>
      </c>
      <c r="U10" s="25" t="str">
        <f>IF($A10="","",Jul!AL9)</f>
        <v/>
      </c>
      <c r="V10" s="25" t="str">
        <f>IF($A10="","",Aug!AL9)</f>
        <v/>
      </c>
      <c r="W10" s="25" t="str">
        <f>IF($A10="","",Sep!AL9)</f>
        <v/>
      </c>
      <c r="X10" s="25" t="str">
        <f>IF($A10="","",Oct!AL9)</f>
        <v/>
      </c>
      <c r="Y10" s="25" t="str">
        <f>IF($A10="","",Nov!AL9)</f>
        <v/>
      </c>
      <c r="Z10" s="25" t="str">
        <f>IF($A10="","",Dec!AL9)</f>
        <v/>
      </c>
      <c r="AA10" s="25" t="str">
        <f t="shared" si="1"/>
        <v/>
      </c>
    </row>
    <row r="11" spans="1:27" x14ac:dyDescent="0.3">
      <c r="A11" s="21" t="str">
        <f>IF(INDEX(Workers!$C:$C,10)="","",INDEX(Workers!$C:$C,10))</f>
        <v/>
      </c>
      <c r="B11" s="24" t="str">
        <f>IF($A11="","",Jan!AJ10)</f>
        <v/>
      </c>
      <c r="C11" s="24" t="str">
        <f>IF($A11="","",Feb!AJ10)</f>
        <v/>
      </c>
      <c r="D11" s="24" t="str">
        <f>IF($A11="","",Mar!AJ10)</f>
        <v/>
      </c>
      <c r="E11" s="24" t="str">
        <f>IF($A11="","",Apr!AJ10)</f>
        <v/>
      </c>
      <c r="F11" s="24" t="str">
        <f>IF($A11="","",May!AJ10)</f>
        <v/>
      </c>
      <c r="G11" s="24" t="str">
        <f>IF($A11="","",Jun!AJ10)</f>
        <v/>
      </c>
      <c r="H11" s="24" t="str">
        <f>IF($A11="","",Jul!AJ10)</f>
        <v/>
      </c>
      <c r="I11" s="24" t="str">
        <f>IF($A11="","",Aug!AJ10)</f>
        <v/>
      </c>
      <c r="J11" s="24" t="str">
        <f>IF($A11="","",Sep!AJ10)</f>
        <v/>
      </c>
      <c r="K11" s="24" t="str">
        <f>IF($A11="","",Oct!AJ10)</f>
        <v/>
      </c>
      <c r="L11" s="24" t="str">
        <f>IF($A11="","",Nov!AJ10)</f>
        <v/>
      </c>
      <c r="M11" s="24" t="str">
        <f>IF($A11="","",Dec!AJ10)</f>
        <v/>
      </c>
      <c r="N11" s="24" t="str">
        <f t="shared" si="0"/>
        <v/>
      </c>
      <c r="O11" s="25" t="str">
        <f>IF($A11="","",Jan!AL10)</f>
        <v/>
      </c>
      <c r="P11" s="25" t="str">
        <f>IF($A11="","",Feb!AL10)</f>
        <v/>
      </c>
      <c r="Q11" s="25" t="str">
        <f>IF($A11="","",Mar!AL10)</f>
        <v/>
      </c>
      <c r="R11" s="25" t="str">
        <f>IF($A11="","",Apr!AL10)</f>
        <v/>
      </c>
      <c r="S11" s="25" t="str">
        <f>IF($A11="","",May!AL10)</f>
        <v/>
      </c>
      <c r="T11" s="25" t="str">
        <f>IF($A11="","",Jun!AL10)</f>
        <v/>
      </c>
      <c r="U11" s="25" t="str">
        <f>IF($A11="","",Jul!AL10)</f>
        <v/>
      </c>
      <c r="V11" s="25" t="str">
        <f>IF($A11="","",Aug!AL10)</f>
        <v/>
      </c>
      <c r="W11" s="25" t="str">
        <f>IF($A11="","",Sep!AL10)</f>
        <v/>
      </c>
      <c r="X11" s="25" t="str">
        <f>IF($A11="","",Oct!AL10)</f>
        <v/>
      </c>
      <c r="Y11" s="25" t="str">
        <f>IF($A11="","",Nov!AL10)</f>
        <v/>
      </c>
      <c r="Z11" s="25" t="str">
        <f>IF($A11="","",Dec!AL10)</f>
        <v/>
      </c>
      <c r="AA11" s="25" t="str">
        <f t="shared" si="1"/>
        <v/>
      </c>
    </row>
    <row r="12" spans="1:27" x14ac:dyDescent="0.3">
      <c r="A12" s="21" t="str">
        <f>IF(INDEX(Workers!$C:$C,11)="","",INDEX(Workers!$C:$C,11))</f>
        <v/>
      </c>
      <c r="B12" s="24" t="str">
        <f>IF($A12="","",Jan!AJ11)</f>
        <v/>
      </c>
      <c r="C12" s="24" t="str">
        <f>IF($A12="","",Feb!AJ11)</f>
        <v/>
      </c>
      <c r="D12" s="24" t="str">
        <f>IF($A12="","",Mar!AJ11)</f>
        <v/>
      </c>
      <c r="E12" s="24" t="str">
        <f>IF($A12="","",Apr!AJ11)</f>
        <v/>
      </c>
      <c r="F12" s="24" t="str">
        <f>IF($A12="","",May!AJ11)</f>
        <v/>
      </c>
      <c r="G12" s="24" t="str">
        <f>IF($A12="","",Jun!AJ11)</f>
        <v/>
      </c>
      <c r="H12" s="24" t="str">
        <f>IF($A12="","",Jul!AJ11)</f>
        <v/>
      </c>
      <c r="I12" s="24" t="str">
        <f>IF($A12="","",Aug!AJ11)</f>
        <v/>
      </c>
      <c r="J12" s="24" t="str">
        <f>IF($A12="","",Sep!AJ11)</f>
        <v/>
      </c>
      <c r="K12" s="24" t="str">
        <f>IF($A12="","",Oct!AJ11)</f>
        <v/>
      </c>
      <c r="L12" s="24" t="str">
        <f>IF($A12="","",Nov!AJ11)</f>
        <v/>
      </c>
      <c r="M12" s="24" t="str">
        <f>IF($A12="","",Dec!AJ11)</f>
        <v/>
      </c>
      <c r="N12" s="24" t="str">
        <f t="shared" si="0"/>
        <v/>
      </c>
      <c r="O12" s="25" t="str">
        <f>IF($A12="","",Jan!AL11)</f>
        <v/>
      </c>
      <c r="P12" s="25" t="str">
        <f>IF($A12="","",Feb!AL11)</f>
        <v/>
      </c>
      <c r="Q12" s="25" t="str">
        <f>IF($A12="","",Mar!AL11)</f>
        <v/>
      </c>
      <c r="R12" s="25" t="str">
        <f>IF($A12="","",Apr!AL11)</f>
        <v/>
      </c>
      <c r="S12" s="25" t="str">
        <f>IF($A12="","",May!AL11)</f>
        <v/>
      </c>
      <c r="T12" s="25" t="str">
        <f>IF($A12="","",Jun!AL11)</f>
        <v/>
      </c>
      <c r="U12" s="25" t="str">
        <f>IF($A12="","",Jul!AL11)</f>
        <v/>
      </c>
      <c r="V12" s="25" t="str">
        <f>IF($A12="","",Aug!AL11)</f>
        <v/>
      </c>
      <c r="W12" s="25" t="str">
        <f>IF($A12="","",Sep!AL11)</f>
        <v/>
      </c>
      <c r="X12" s="25" t="str">
        <f>IF($A12="","",Oct!AL11)</f>
        <v/>
      </c>
      <c r="Y12" s="25" t="str">
        <f>IF($A12="","",Nov!AL11)</f>
        <v/>
      </c>
      <c r="Z12" s="25" t="str">
        <f>IF($A12="","",Dec!AL11)</f>
        <v/>
      </c>
      <c r="AA12" s="25" t="str">
        <f t="shared" si="1"/>
        <v/>
      </c>
    </row>
    <row r="13" spans="1:27" x14ac:dyDescent="0.3">
      <c r="A13" s="21" t="str">
        <f>IF(INDEX(Workers!$C:$C,12)="","",INDEX(Workers!$C:$C,12))</f>
        <v/>
      </c>
      <c r="B13" s="24" t="str">
        <f>IF($A13="","",Jan!AJ12)</f>
        <v/>
      </c>
      <c r="C13" s="24" t="str">
        <f>IF($A13="","",Feb!AJ12)</f>
        <v/>
      </c>
      <c r="D13" s="24" t="str">
        <f>IF($A13="","",Mar!AJ12)</f>
        <v/>
      </c>
      <c r="E13" s="24" t="str">
        <f>IF($A13="","",Apr!AJ12)</f>
        <v/>
      </c>
      <c r="F13" s="24" t="str">
        <f>IF($A13="","",May!AJ12)</f>
        <v/>
      </c>
      <c r="G13" s="24" t="str">
        <f>IF($A13="","",Jun!AJ12)</f>
        <v/>
      </c>
      <c r="H13" s="24" t="str">
        <f>IF($A13="","",Jul!AJ12)</f>
        <v/>
      </c>
      <c r="I13" s="24" t="str">
        <f>IF($A13="","",Aug!AJ12)</f>
        <v/>
      </c>
      <c r="J13" s="24" t="str">
        <f>IF($A13="","",Sep!AJ12)</f>
        <v/>
      </c>
      <c r="K13" s="24" t="str">
        <f>IF($A13="","",Oct!AJ12)</f>
        <v/>
      </c>
      <c r="L13" s="24" t="str">
        <f>IF($A13="","",Nov!AJ12)</f>
        <v/>
      </c>
      <c r="M13" s="24" t="str">
        <f>IF($A13="","",Dec!AJ12)</f>
        <v/>
      </c>
      <c r="N13" s="24" t="str">
        <f t="shared" si="0"/>
        <v/>
      </c>
      <c r="O13" s="25" t="str">
        <f>IF($A13="","",Jan!AL12)</f>
        <v/>
      </c>
      <c r="P13" s="25" t="str">
        <f>IF($A13="","",Feb!AL12)</f>
        <v/>
      </c>
      <c r="Q13" s="25" t="str">
        <f>IF($A13="","",Mar!AL12)</f>
        <v/>
      </c>
      <c r="R13" s="25" t="str">
        <f>IF($A13="","",Apr!AL12)</f>
        <v/>
      </c>
      <c r="S13" s="25" t="str">
        <f>IF($A13="","",May!AL12)</f>
        <v/>
      </c>
      <c r="T13" s="25" t="str">
        <f>IF($A13="","",Jun!AL12)</f>
        <v/>
      </c>
      <c r="U13" s="25" t="str">
        <f>IF($A13="","",Jul!AL12)</f>
        <v/>
      </c>
      <c r="V13" s="25" t="str">
        <f>IF($A13="","",Aug!AL12)</f>
        <v/>
      </c>
      <c r="W13" s="25" t="str">
        <f>IF($A13="","",Sep!AL12)</f>
        <v/>
      </c>
      <c r="X13" s="25" t="str">
        <f>IF($A13="","",Oct!AL12)</f>
        <v/>
      </c>
      <c r="Y13" s="25" t="str">
        <f>IF($A13="","",Nov!AL12)</f>
        <v/>
      </c>
      <c r="Z13" s="25" t="str">
        <f>IF($A13="","",Dec!AL12)</f>
        <v/>
      </c>
      <c r="AA13" s="25" t="str">
        <f t="shared" si="1"/>
        <v/>
      </c>
    </row>
    <row r="14" spans="1:27" x14ac:dyDescent="0.3">
      <c r="A14" s="21" t="str">
        <f>IF(INDEX(Workers!$C:$C,13)="","",INDEX(Workers!$C:$C,13))</f>
        <v/>
      </c>
      <c r="B14" s="24" t="str">
        <f>IF($A14="","",Jan!AJ13)</f>
        <v/>
      </c>
      <c r="C14" s="24" t="str">
        <f>IF($A14="","",Feb!AJ13)</f>
        <v/>
      </c>
      <c r="D14" s="24" t="str">
        <f>IF($A14="","",Mar!AJ13)</f>
        <v/>
      </c>
      <c r="E14" s="24" t="str">
        <f>IF($A14="","",Apr!AJ13)</f>
        <v/>
      </c>
      <c r="F14" s="24" t="str">
        <f>IF($A14="","",May!AJ13)</f>
        <v/>
      </c>
      <c r="G14" s="24" t="str">
        <f>IF($A14="","",Jun!AJ13)</f>
        <v/>
      </c>
      <c r="H14" s="24" t="str">
        <f>IF($A14="","",Jul!AJ13)</f>
        <v/>
      </c>
      <c r="I14" s="24" t="str">
        <f>IF($A14="","",Aug!AJ13)</f>
        <v/>
      </c>
      <c r="J14" s="24" t="str">
        <f>IF($A14="","",Sep!AJ13)</f>
        <v/>
      </c>
      <c r="K14" s="24" t="str">
        <f>IF($A14="","",Oct!AJ13)</f>
        <v/>
      </c>
      <c r="L14" s="24" t="str">
        <f>IF($A14="","",Nov!AJ13)</f>
        <v/>
      </c>
      <c r="M14" s="24" t="str">
        <f>IF($A14="","",Dec!AJ13)</f>
        <v/>
      </c>
      <c r="N14" s="24" t="str">
        <f t="shared" si="0"/>
        <v/>
      </c>
      <c r="O14" s="25" t="str">
        <f>IF($A14="","",Jan!AL13)</f>
        <v/>
      </c>
      <c r="P14" s="25" t="str">
        <f>IF($A14="","",Feb!AL13)</f>
        <v/>
      </c>
      <c r="Q14" s="25" t="str">
        <f>IF($A14="","",Mar!AL13)</f>
        <v/>
      </c>
      <c r="R14" s="25" t="str">
        <f>IF($A14="","",Apr!AL13)</f>
        <v/>
      </c>
      <c r="S14" s="25" t="str">
        <f>IF($A14="","",May!AL13)</f>
        <v/>
      </c>
      <c r="T14" s="25" t="str">
        <f>IF($A14="","",Jun!AL13)</f>
        <v/>
      </c>
      <c r="U14" s="25" t="str">
        <f>IF($A14="","",Jul!AL13)</f>
        <v/>
      </c>
      <c r="V14" s="25" t="str">
        <f>IF($A14="","",Aug!AL13)</f>
        <v/>
      </c>
      <c r="W14" s="25" t="str">
        <f>IF($A14="","",Sep!AL13)</f>
        <v/>
      </c>
      <c r="X14" s="25" t="str">
        <f>IF($A14="","",Oct!AL13)</f>
        <v/>
      </c>
      <c r="Y14" s="25" t="str">
        <f>IF($A14="","",Nov!AL13)</f>
        <v/>
      </c>
      <c r="Z14" s="25" t="str">
        <f>IF($A14="","",Dec!AL13)</f>
        <v/>
      </c>
      <c r="AA14" s="25" t="str">
        <f t="shared" si="1"/>
        <v/>
      </c>
    </row>
    <row r="15" spans="1:27" x14ac:dyDescent="0.3">
      <c r="A15" s="21" t="str">
        <f>IF(INDEX(Workers!$C:$C,14)="","",INDEX(Workers!$C:$C,14))</f>
        <v/>
      </c>
      <c r="B15" s="24" t="str">
        <f>IF($A15="","",Jan!AJ14)</f>
        <v/>
      </c>
      <c r="C15" s="24" t="str">
        <f>IF($A15="","",Feb!AJ14)</f>
        <v/>
      </c>
      <c r="D15" s="24" t="str">
        <f>IF($A15="","",Mar!AJ14)</f>
        <v/>
      </c>
      <c r="E15" s="24" t="str">
        <f>IF($A15="","",Apr!AJ14)</f>
        <v/>
      </c>
      <c r="F15" s="24" t="str">
        <f>IF($A15="","",May!AJ14)</f>
        <v/>
      </c>
      <c r="G15" s="24" t="str">
        <f>IF($A15="","",Jun!AJ14)</f>
        <v/>
      </c>
      <c r="H15" s="24" t="str">
        <f>IF($A15="","",Jul!AJ14)</f>
        <v/>
      </c>
      <c r="I15" s="24" t="str">
        <f>IF($A15="","",Aug!AJ14)</f>
        <v/>
      </c>
      <c r="J15" s="24" t="str">
        <f>IF($A15="","",Sep!AJ14)</f>
        <v/>
      </c>
      <c r="K15" s="24" t="str">
        <f>IF($A15="","",Oct!AJ14)</f>
        <v/>
      </c>
      <c r="L15" s="24" t="str">
        <f>IF($A15="","",Nov!AJ14)</f>
        <v/>
      </c>
      <c r="M15" s="24" t="str">
        <f>IF($A15="","",Dec!AJ14)</f>
        <v/>
      </c>
      <c r="N15" s="24" t="str">
        <f t="shared" si="0"/>
        <v/>
      </c>
      <c r="O15" s="25" t="str">
        <f>IF($A15="","",Jan!AL14)</f>
        <v/>
      </c>
      <c r="P15" s="25" t="str">
        <f>IF($A15="","",Feb!AL14)</f>
        <v/>
      </c>
      <c r="Q15" s="25" t="str">
        <f>IF($A15="","",Mar!AL14)</f>
        <v/>
      </c>
      <c r="R15" s="25" t="str">
        <f>IF($A15="","",Apr!AL14)</f>
        <v/>
      </c>
      <c r="S15" s="25" t="str">
        <f>IF($A15="","",May!AL14)</f>
        <v/>
      </c>
      <c r="T15" s="25" t="str">
        <f>IF($A15="","",Jun!AL14)</f>
        <v/>
      </c>
      <c r="U15" s="25" t="str">
        <f>IF($A15="","",Jul!AL14)</f>
        <v/>
      </c>
      <c r="V15" s="25" t="str">
        <f>IF($A15="","",Aug!AL14)</f>
        <v/>
      </c>
      <c r="W15" s="25" t="str">
        <f>IF($A15="","",Sep!AL14)</f>
        <v/>
      </c>
      <c r="X15" s="25" t="str">
        <f>IF($A15="","",Oct!AL14)</f>
        <v/>
      </c>
      <c r="Y15" s="25" t="str">
        <f>IF($A15="","",Nov!AL14)</f>
        <v/>
      </c>
      <c r="Z15" s="25" t="str">
        <f>IF($A15="","",Dec!AL14)</f>
        <v/>
      </c>
      <c r="AA15" s="25" t="str">
        <f t="shared" si="1"/>
        <v/>
      </c>
    </row>
    <row r="16" spans="1:27" x14ac:dyDescent="0.3">
      <c r="A16" s="21" t="str">
        <f>IF(INDEX(Workers!$C:$C,15)="","",INDEX(Workers!$C:$C,15))</f>
        <v/>
      </c>
      <c r="B16" s="24" t="str">
        <f>IF($A16="","",Jan!AJ15)</f>
        <v/>
      </c>
      <c r="C16" s="24" t="str">
        <f>IF($A16="","",Feb!AJ15)</f>
        <v/>
      </c>
      <c r="D16" s="24" t="str">
        <f>IF($A16="","",Mar!AJ15)</f>
        <v/>
      </c>
      <c r="E16" s="24" t="str">
        <f>IF($A16="","",Apr!AJ15)</f>
        <v/>
      </c>
      <c r="F16" s="24" t="str">
        <f>IF($A16="","",May!AJ15)</f>
        <v/>
      </c>
      <c r="G16" s="24" t="str">
        <f>IF($A16="","",Jun!AJ15)</f>
        <v/>
      </c>
      <c r="H16" s="24" t="str">
        <f>IF($A16="","",Jul!AJ15)</f>
        <v/>
      </c>
      <c r="I16" s="24" t="str">
        <f>IF($A16="","",Aug!AJ15)</f>
        <v/>
      </c>
      <c r="J16" s="24" t="str">
        <f>IF($A16="","",Sep!AJ15)</f>
        <v/>
      </c>
      <c r="K16" s="24" t="str">
        <f>IF($A16="","",Oct!AJ15)</f>
        <v/>
      </c>
      <c r="L16" s="24" t="str">
        <f>IF($A16="","",Nov!AJ15)</f>
        <v/>
      </c>
      <c r="M16" s="24" t="str">
        <f>IF($A16="","",Dec!AJ15)</f>
        <v/>
      </c>
      <c r="N16" s="24" t="str">
        <f t="shared" si="0"/>
        <v/>
      </c>
      <c r="O16" s="25" t="str">
        <f>IF($A16="","",Jan!AL15)</f>
        <v/>
      </c>
      <c r="P16" s="25" t="str">
        <f>IF($A16="","",Feb!AL15)</f>
        <v/>
      </c>
      <c r="Q16" s="25" t="str">
        <f>IF($A16="","",Mar!AL15)</f>
        <v/>
      </c>
      <c r="R16" s="25" t="str">
        <f>IF($A16="","",Apr!AL15)</f>
        <v/>
      </c>
      <c r="S16" s="25" t="str">
        <f>IF($A16="","",May!AL15)</f>
        <v/>
      </c>
      <c r="T16" s="25" t="str">
        <f>IF($A16="","",Jun!AL15)</f>
        <v/>
      </c>
      <c r="U16" s="25" t="str">
        <f>IF($A16="","",Jul!AL15)</f>
        <v/>
      </c>
      <c r="V16" s="25" t="str">
        <f>IF($A16="","",Aug!AL15)</f>
        <v/>
      </c>
      <c r="W16" s="25" t="str">
        <f>IF($A16="","",Sep!AL15)</f>
        <v/>
      </c>
      <c r="X16" s="25" t="str">
        <f>IF($A16="","",Oct!AL15)</f>
        <v/>
      </c>
      <c r="Y16" s="25" t="str">
        <f>IF($A16="","",Nov!AL15)</f>
        <v/>
      </c>
      <c r="Z16" s="25" t="str">
        <f>IF($A16="","",Dec!AL15)</f>
        <v/>
      </c>
      <c r="AA16" s="25" t="str">
        <f t="shared" si="1"/>
        <v/>
      </c>
    </row>
    <row r="17" spans="1:27" x14ac:dyDescent="0.3">
      <c r="A17" s="21" t="str">
        <f>IF(INDEX(Workers!$C:$C,16)="","",INDEX(Workers!$C:$C,16))</f>
        <v/>
      </c>
      <c r="B17" s="24" t="str">
        <f>IF($A17="","",Jan!AJ16)</f>
        <v/>
      </c>
      <c r="C17" s="24" t="str">
        <f>IF($A17="","",Feb!AJ16)</f>
        <v/>
      </c>
      <c r="D17" s="24" t="str">
        <f>IF($A17="","",Mar!AJ16)</f>
        <v/>
      </c>
      <c r="E17" s="24" t="str">
        <f>IF($A17="","",Apr!AJ16)</f>
        <v/>
      </c>
      <c r="F17" s="24" t="str">
        <f>IF($A17="","",May!AJ16)</f>
        <v/>
      </c>
      <c r="G17" s="24" t="str">
        <f>IF($A17="","",Jun!AJ16)</f>
        <v/>
      </c>
      <c r="H17" s="24" t="str">
        <f>IF($A17="","",Jul!AJ16)</f>
        <v/>
      </c>
      <c r="I17" s="24" t="str">
        <f>IF($A17="","",Aug!AJ16)</f>
        <v/>
      </c>
      <c r="J17" s="24" t="str">
        <f>IF($A17="","",Sep!AJ16)</f>
        <v/>
      </c>
      <c r="K17" s="24" t="str">
        <f>IF($A17="","",Oct!AJ16)</f>
        <v/>
      </c>
      <c r="L17" s="24" t="str">
        <f>IF($A17="","",Nov!AJ16)</f>
        <v/>
      </c>
      <c r="M17" s="24" t="str">
        <f>IF($A17="","",Dec!AJ16)</f>
        <v/>
      </c>
      <c r="N17" s="24" t="str">
        <f t="shared" si="0"/>
        <v/>
      </c>
      <c r="O17" s="25" t="str">
        <f>IF($A17="","",Jan!AL16)</f>
        <v/>
      </c>
      <c r="P17" s="25" t="str">
        <f>IF($A17="","",Feb!AL16)</f>
        <v/>
      </c>
      <c r="Q17" s="25" t="str">
        <f>IF($A17="","",Mar!AL16)</f>
        <v/>
      </c>
      <c r="R17" s="25" t="str">
        <f>IF($A17="","",Apr!AL16)</f>
        <v/>
      </c>
      <c r="S17" s="25" t="str">
        <f>IF($A17="","",May!AL16)</f>
        <v/>
      </c>
      <c r="T17" s="25" t="str">
        <f>IF($A17="","",Jun!AL16)</f>
        <v/>
      </c>
      <c r="U17" s="25" t="str">
        <f>IF($A17="","",Jul!AL16)</f>
        <v/>
      </c>
      <c r="V17" s="25" t="str">
        <f>IF($A17="","",Aug!AL16)</f>
        <v/>
      </c>
      <c r="W17" s="25" t="str">
        <f>IF($A17="","",Sep!AL16)</f>
        <v/>
      </c>
      <c r="X17" s="25" t="str">
        <f>IF($A17="","",Oct!AL16)</f>
        <v/>
      </c>
      <c r="Y17" s="25" t="str">
        <f>IF($A17="","",Nov!AL16)</f>
        <v/>
      </c>
      <c r="Z17" s="25" t="str">
        <f>IF($A17="","",Dec!AL16)</f>
        <v/>
      </c>
      <c r="AA17" s="25" t="str">
        <f t="shared" si="1"/>
        <v/>
      </c>
    </row>
    <row r="18" spans="1:27" x14ac:dyDescent="0.3">
      <c r="A18" s="21" t="str">
        <f>IF(INDEX(Workers!$C:$C,17)="","",INDEX(Workers!$C:$C,17))</f>
        <v/>
      </c>
      <c r="B18" s="24" t="str">
        <f>IF($A18="","",Jan!AJ17)</f>
        <v/>
      </c>
      <c r="C18" s="24" t="str">
        <f>IF($A18="","",Feb!AJ17)</f>
        <v/>
      </c>
      <c r="D18" s="24" t="str">
        <f>IF($A18="","",Mar!AJ17)</f>
        <v/>
      </c>
      <c r="E18" s="24" t="str">
        <f>IF($A18="","",Apr!AJ17)</f>
        <v/>
      </c>
      <c r="F18" s="24" t="str">
        <f>IF($A18="","",May!AJ17)</f>
        <v/>
      </c>
      <c r="G18" s="24" t="str">
        <f>IF($A18="","",Jun!AJ17)</f>
        <v/>
      </c>
      <c r="H18" s="24" t="str">
        <f>IF($A18="","",Jul!AJ17)</f>
        <v/>
      </c>
      <c r="I18" s="24" t="str">
        <f>IF($A18="","",Aug!AJ17)</f>
        <v/>
      </c>
      <c r="J18" s="24" t="str">
        <f>IF($A18="","",Sep!AJ17)</f>
        <v/>
      </c>
      <c r="K18" s="24" t="str">
        <f>IF($A18="","",Oct!AJ17)</f>
        <v/>
      </c>
      <c r="L18" s="24" t="str">
        <f>IF($A18="","",Nov!AJ17)</f>
        <v/>
      </c>
      <c r="M18" s="24" t="str">
        <f>IF($A18="","",Dec!AJ17)</f>
        <v/>
      </c>
      <c r="N18" s="24" t="str">
        <f t="shared" si="0"/>
        <v/>
      </c>
      <c r="O18" s="25" t="str">
        <f>IF($A18="","",Jan!AL17)</f>
        <v/>
      </c>
      <c r="P18" s="25" t="str">
        <f>IF($A18="","",Feb!AL17)</f>
        <v/>
      </c>
      <c r="Q18" s="25" t="str">
        <f>IF($A18="","",Mar!AL17)</f>
        <v/>
      </c>
      <c r="R18" s="25" t="str">
        <f>IF($A18="","",Apr!AL17)</f>
        <v/>
      </c>
      <c r="S18" s="25" t="str">
        <f>IF($A18="","",May!AL17)</f>
        <v/>
      </c>
      <c r="T18" s="25" t="str">
        <f>IF($A18="","",Jun!AL17)</f>
        <v/>
      </c>
      <c r="U18" s="25" t="str">
        <f>IF($A18="","",Jul!AL17)</f>
        <v/>
      </c>
      <c r="V18" s="25" t="str">
        <f>IF($A18="","",Aug!AL17)</f>
        <v/>
      </c>
      <c r="W18" s="25" t="str">
        <f>IF($A18="","",Sep!AL17)</f>
        <v/>
      </c>
      <c r="X18" s="25" t="str">
        <f>IF($A18="","",Oct!AL17)</f>
        <v/>
      </c>
      <c r="Y18" s="25" t="str">
        <f>IF($A18="","",Nov!AL17)</f>
        <v/>
      </c>
      <c r="Z18" s="25" t="str">
        <f>IF($A18="","",Dec!AL17)</f>
        <v/>
      </c>
      <c r="AA18" s="25" t="str">
        <f t="shared" si="1"/>
        <v/>
      </c>
    </row>
    <row r="19" spans="1:27" x14ac:dyDescent="0.3">
      <c r="A19" s="21" t="str">
        <f>IF(INDEX(Workers!$C:$C,18)="","",INDEX(Workers!$C:$C,18))</f>
        <v/>
      </c>
      <c r="B19" s="24" t="str">
        <f>IF($A19="","",Jan!AJ18)</f>
        <v/>
      </c>
      <c r="C19" s="24" t="str">
        <f>IF($A19="","",Feb!AJ18)</f>
        <v/>
      </c>
      <c r="D19" s="24" t="str">
        <f>IF($A19="","",Mar!AJ18)</f>
        <v/>
      </c>
      <c r="E19" s="24" t="str">
        <f>IF($A19="","",Apr!AJ18)</f>
        <v/>
      </c>
      <c r="F19" s="24" t="str">
        <f>IF($A19="","",May!AJ18)</f>
        <v/>
      </c>
      <c r="G19" s="24" t="str">
        <f>IF($A19="","",Jun!AJ18)</f>
        <v/>
      </c>
      <c r="H19" s="24" t="str">
        <f>IF($A19="","",Jul!AJ18)</f>
        <v/>
      </c>
      <c r="I19" s="24" t="str">
        <f>IF($A19="","",Aug!AJ18)</f>
        <v/>
      </c>
      <c r="J19" s="24" t="str">
        <f>IF($A19="","",Sep!AJ18)</f>
        <v/>
      </c>
      <c r="K19" s="24" t="str">
        <f>IF($A19="","",Oct!AJ18)</f>
        <v/>
      </c>
      <c r="L19" s="24" t="str">
        <f>IF($A19="","",Nov!AJ18)</f>
        <v/>
      </c>
      <c r="M19" s="24" t="str">
        <f>IF($A19="","",Dec!AJ18)</f>
        <v/>
      </c>
      <c r="N19" s="24" t="str">
        <f t="shared" si="0"/>
        <v/>
      </c>
      <c r="O19" s="25" t="str">
        <f>IF($A19="","",Jan!AL18)</f>
        <v/>
      </c>
      <c r="P19" s="25" t="str">
        <f>IF($A19="","",Feb!AL18)</f>
        <v/>
      </c>
      <c r="Q19" s="25" t="str">
        <f>IF($A19="","",Mar!AL18)</f>
        <v/>
      </c>
      <c r="R19" s="25" t="str">
        <f>IF($A19="","",Apr!AL18)</f>
        <v/>
      </c>
      <c r="S19" s="25" t="str">
        <f>IF($A19="","",May!AL18)</f>
        <v/>
      </c>
      <c r="T19" s="25" t="str">
        <f>IF($A19="","",Jun!AL18)</f>
        <v/>
      </c>
      <c r="U19" s="25" t="str">
        <f>IF($A19="","",Jul!AL18)</f>
        <v/>
      </c>
      <c r="V19" s="25" t="str">
        <f>IF($A19="","",Aug!AL18)</f>
        <v/>
      </c>
      <c r="W19" s="25" t="str">
        <f>IF($A19="","",Sep!AL18)</f>
        <v/>
      </c>
      <c r="X19" s="25" t="str">
        <f>IF($A19="","",Oct!AL18)</f>
        <v/>
      </c>
      <c r="Y19" s="25" t="str">
        <f>IF($A19="","",Nov!AL18)</f>
        <v/>
      </c>
      <c r="Z19" s="25" t="str">
        <f>IF($A19="","",Dec!AL18)</f>
        <v/>
      </c>
      <c r="AA19" s="25" t="str">
        <f t="shared" si="1"/>
        <v/>
      </c>
    </row>
    <row r="20" spans="1:27" x14ac:dyDescent="0.3">
      <c r="A20" s="21" t="str">
        <f>IF(INDEX(Workers!$C:$C,19)="","",INDEX(Workers!$C:$C,19))</f>
        <v/>
      </c>
      <c r="B20" s="24" t="str">
        <f>IF($A20="","",Jan!AJ19)</f>
        <v/>
      </c>
      <c r="C20" s="24" t="str">
        <f>IF($A20="","",Feb!AJ19)</f>
        <v/>
      </c>
      <c r="D20" s="24" t="str">
        <f>IF($A20="","",Mar!AJ19)</f>
        <v/>
      </c>
      <c r="E20" s="24" t="str">
        <f>IF($A20="","",Apr!AJ19)</f>
        <v/>
      </c>
      <c r="F20" s="24" t="str">
        <f>IF($A20="","",May!AJ19)</f>
        <v/>
      </c>
      <c r="G20" s="24" t="str">
        <f>IF($A20="","",Jun!AJ19)</f>
        <v/>
      </c>
      <c r="H20" s="24" t="str">
        <f>IF($A20="","",Jul!AJ19)</f>
        <v/>
      </c>
      <c r="I20" s="24" t="str">
        <f>IF($A20="","",Aug!AJ19)</f>
        <v/>
      </c>
      <c r="J20" s="24" t="str">
        <f>IF($A20="","",Sep!AJ19)</f>
        <v/>
      </c>
      <c r="K20" s="24" t="str">
        <f>IF($A20="","",Oct!AJ19)</f>
        <v/>
      </c>
      <c r="L20" s="24" t="str">
        <f>IF($A20="","",Nov!AJ19)</f>
        <v/>
      </c>
      <c r="M20" s="24" t="str">
        <f>IF($A20="","",Dec!AJ19)</f>
        <v/>
      </c>
      <c r="N20" s="24" t="str">
        <f t="shared" si="0"/>
        <v/>
      </c>
      <c r="O20" s="25" t="str">
        <f>IF($A20="","",Jan!AL19)</f>
        <v/>
      </c>
      <c r="P20" s="25" t="str">
        <f>IF($A20="","",Feb!AL19)</f>
        <v/>
      </c>
      <c r="Q20" s="25" t="str">
        <f>IF($A20="","",Mar!AL19)</f>
        <v/>
      </c>
      <c r="R20" s="25" t="str">
        <f>IF($A20="","",Apr!AL19)</f>
        <v/>
      </c>
      <c r="S20" s="25" t="str">
        <f>IF($A20="","",May!AL19)</f>
        <v/>
      </c>
      <c r="T20" s="25" t="str">
        <f>IF($A20="","",Jun!AL19)</f>
        <v/>
      </c>
      <c r="U20" s="25" t="str">
        <f>IF($A20="","",Jul!AL19)</f>
        <v/>
      </c>
      <c r="V20" s="25" t="str">
        <f>IF($A20="","",Aug!AL19)</f>
        <v/>
      </c>
      <c r="W20" s="25" t="str">
        <f>IF($A20="","",Sep!AL19)</f>
        <v/>
      </c>
      <c r="X20" s="25" t="str">
        <f>IF($A20="","",Oct!AL19)</f>
        <v/>
      </c>
      <c r="Y20" s="25" t="str">
        <f>IF($A20="","",Nov!AL19)</f>
        <v/>
      </c>
      <c r="Z20" s="25" t="str">
        <f>IF($A20="","",Dec!AL19)</f>
        <v/>
      </c>
      <c r="AA20" s="25" t="str">
        <f t="shared" si="1"/>
        <v/>
      </c>
    </row>
    <row r="21" spans="1:27" x14ac:dyDescent="0.3">
      <c r="A21" s="21" t="str">
        <f>IF(INDEX(Workers!$C:$C,20)="","",INDEX(Workers!$C:$C,20))</f>
        <v/>
      </c>
      <c r="B21" s="24" t="str">
        <f>IF($A21="","",Jan!AJ20)</f>
        <v/>
      </c>
      <c r="C21" s="24" t="str">
        <f>IF($A21="","",Feb!AJ20)</f>
        <v/>
      </c>
      <c r="D21" s="24" t="str">
        <f>IF($A21="","",Mar!AJ20)</f>
        <v/>
      </c>
      <c r="E21" s="24" t="str">
        <f>IF($A21="","",Apr!AJ20)</f>
        <v/>
      </c>
      <c r="F21" s="24" t="str">
        <f>IF($A21="","",May!AJ20)</f>
        <v/>
      </c>
      <c r="G21" s="24" t="str">
        <f>IF($A21="","",Jun!AJ20)</f>
        <v/>
      </c>
      <c r="H21" s="24" t="str">
        <f>IF($A21="","",Jul!AJ20)</f>
        <v/>
      </c>
      <c r="I21" s="24" t="str">
        <f>IF($A21="","",Aug!AJ20)</f>
        <v/>
      </c>
      <c r="J21" s="24" t="str">
        <f>IF($A21="","",Sep!AJ20)</f>
        <v/>
      </c>
      <c r="K21" s="24" t="str">
        <f>IF($A21="","",Oct!AJ20)</f>
        <v/>
      </c>
      <c r="L21" s="24" t="str">
        <f>IF($A21="","",Nov!AJ20)</f>
        <v/>
      </c>
      <c r="M21" s="24" t="str">
        <f>IF($A21="","",Dec!AJ20)</f>
        <v/>
      </c>
      <c r="N21" s="24" t="str">
        <f t="shared" si="0"/>
        <v/>
      </c>
      <c r="O21" s="25" t="str">
        <f>IF($A21="","",Jan!AL20)</f>
        <v/>
      </c>
      <c r="P21" s="25" t="str">
        <f>IF($A21="","",Feb!AL20)</f>
        <v/>
      </c>
      <c r="Q21" s="25" t="str">
        <f>IF($A21="","",Mar!AL20)</f>
        <v/>
      </c>
      <c r="R21" s="25" t="str">
        <f>IF($A21="","",Apr!AL20)</f>
        <v/>
      </c>
      <c r="S21" s="25" t="str">
        <f>IF($A21="","",May!AL20)</f>
        <v/>
      </c>
      <c r="T21" s="25" t="str">
        <f>IF($A21="","",Jun!AL20)</f>
        <v/>
      </c>
      <c r="U21" s="25" t="str">
        <f>IF($A21="","",Jul!AL20)</f>
        <v/>
      </c>
      <c r="V21" s="25" t="str">
        <f>IF($A21="","",Aug!AL20)</f>
        <v/>
      </c>
      <c r="W21" s="25" t="str">
        <f>IF($A21="","",Sep!AL20)</f>
        <v/>
      </c>
      <c r="X21" s="25" t="str">
        <f>IF($A21="","",Oct!AL20)</f>
        <v/>
      </c>
      <c r="Y21" s="25" t="str">
        <f>IF($A21="","",Nov!AL20)</f>
        <v/>
      </c>
      <c r="Z21" s="25" t="str">
        <f>IF($A21="","",Dec!AL20)</f>
        <v/>
      </c>
      <c r="AA21" s="25" t="str">
        <f t="shared" si="1"/>
        <v/>
      </c>
    </row>
    <row r="22" spans="1:27" x14ac:dyDescent="0.3">
      <c r="A22" s="21" t="str">
        <f>IF(INDEX(Workers!$C:$C,21)="","",INDEX(Workers!$C:$C,21))</f>
        <v/>
      </c>
      <c r="B22" s="24" t="str">
        <f>IF($A22="","",Jan!AJ21)</f>
        <v/>
      </c>
      <c r="C22" s="24" t="str">
        <f>IF($A22="","",Feb!AJ21)</f>
        <v/>
      </c>
      <c r="D22" s="24" t="str">
        <f>IF($A22="","",Mar!AJ21)</f>
        <v/>
      </c>
      <c r="E22" s="24" t="str">
        <f>IF($A22="","",Apr!AJ21)</f>
        <v/>
      </c>
      <c r="F22" s="24" t="str">
        <f>IF($A22="","",May!AJ21)</f>
        <v/>
      </c>
      <c r="G22" s="24" t="str">
        <f>IF($A22="","",Jun!AJ21)</f>
        <v/>
      </c>
      <c r="H22" s="24" t="str">
        <f>IF($A22="","",Jul!AJ21)</f>
        <v/>
      </c>
      <c r="I22" s="24" t="str">
        <f>IF($A22="","",Aug!AJ21)</f>
        <v/>
      </c>
      <c r="J22" s="24" t="str">
        <f>IF($A22="","",Sep!AJ21)</f>
        <v/>
      </c>
      <c r="K22" s="24" t="str">
        <f>IF($A22="","",Oct!AJ21)</f>
        <v/>
      </c>
      <c r="L22" s="24" t="str">
        <f>IF($A22="","",Nov!AJ21)</f>
        <v/>
      </c>
      <c r="M22" s="24" t="str">
        <f>IF($A22="","",Dec!AJ21)</f>
        <v/>
      </c>
      <c r="N22" s="24" t="str">
        <f t="shared" si="0"/>
        <v/>
      </c>
      <c r="O22" s="25" t="str">
        <f>IF($A22="","",Jan!AL21)</f>
        <v/>
      </c>
      <c r="P22" s="25" t="str">
        <f>IF($A22="","",Feb!AL21)</f>
        <v/>
      </c>
      <c r="Q22" s="25" t="str">
        <f>IF($A22="","",Mar!AL21)</f>
        <v/>
      </c>
      <c r="R22" s="25" t="str">
        <f>IF($A22="","",Apr!AL21)</f>
        <v/>
      </c>
      <c r="S22" s="25" t="str">
        <f>IF($A22="","",May!AL21)</f>
        <v/>
      </c>
      <c r="T22" s="25" t="str">
        <f>IF($A22="","",Jun!AL21)</f>
        <v/>
      </c>
      <c r="U22" s="25" t="str">
        <f>IF($A22="","",Jul!AL21)</f>
        <v/>
      </c>
      <c r="V22" s="25" t="str">
        <f>IF($A22="","",Aug!AL21)</f>
        <v/>
      </c>
      <c r="W22" s="25" t="str">
        <f>IF($A22="","",Sep!AL21)</f>
        <v/>
      </c>
      <c r="X22" s="25" t="str">
        <f>IF($A22="","",Oct!AL21)</f>
        <v/>
      </c>
      <c r="Y22" s="25" t="str">
        <f>IF($A22="","",Nov!AL21)</f>
        <v/>
      </c>
      <c r="Z22" s="25" t="str">
        <f>IF($A22="","",Dec!AL21)</f>
        <v/>
      </c>
      <c r="AA22" s="25" t="str">
        <f t="shared" si="1"/>
        <v/>
      </c>
    </row>
    <row r="23" spans="1:27" x14ac:dyDescent="0.3">
      <c r="A23" s="21" t="str">
        <f>IF(INDEX(Workers!$C:$C,22)="","",INDEX(Workers!$C:$C,22))</f>
        <v/>
      </c>
      <c r="B23" s="24" t="str">
        <f>IF($A23="","",Jan!AJ22)</f>
        <v/>
      </c>
      <c r="C23" s="24" t="str">
        <f>IF($A23="","",Feb!AJ22)</f>
        <v/>
      </c>
      <c r="D23" s="24" t="str">
        <f>IF($A23="","",Mar!AJ22)</f>
        <v/>
      </c>
      <c r="E23" s="24" t="str">
        <f>IF($A23="","",Apr!AJ22)</f>
        <v/>
      </c>
      <c r="F23" s="24" t="str">
        <f>IF($A23="","",May!AJ22)</f>
        <v/>
      </c>
      <c r="G23" s="24" t="str">
        <f>IF($A23="","",Jun!AJ22)</f>
        <v/>
      </c>
      <c r="H23" s="24" t="str">
        <f>IF($A23="","",Jul!AJ22)</f>
        <v/>
      </c>
      <c r="I23" s="24" t="str">
        <f>IF($A23="","",Aug!AJ22)</f>
        <v/>
      </c>
      <c r="J23" s="24" t="str">
        <f>IF($A23="","",Sep!AJ22)</f>
        <v/>
      </c>
      <c r="K23" s="24" t="str">
        <f>IF($A23="","",Oct!AJ22)</f>
        <v/>
      </c>
      <c r="L23" s="24" t="str">
        <f>IF($A23="","",Nov!AJ22)</f>
        <v/>
      </c>
      <c r="M23" s="24" t="str">
        <f>IF($A23="","",Dec!AJ22)</f>
        <v/>
      </c>
      <c r="N23" s="24" t="str">
        <f t="shared" si="0"/>
        <v/>
      </c>
      <c r="O23" s="25" t="str">
        <f>IF($A23="","",Jan!AL22)</f>
        <v/>
      </c>
      <c r="P23" s="25" t="str">
        <f>IF($A23="","",Feb!AL22)</f>
        <v/>
      </c>
      <c r="Q23" s="25" t="str">
        <f>IF($A23="","",Mar!AL22)</f>
        <v/>
      </c>
      <c r="R23" s="25" t="str">
        <f>IF($A23="","",Apr!AL22)</f>
        <v/>
      </c>
      <c r="S23" s="25" t="str">
        <f>IF($A23="","",May!AL22)</f>
        <v/>
      </c>
      <c r="T23" s="25" t="str">
        <f>IF($A23="","",Jun!AL22)</f>
        <v/>
      </c>
      <c r="U23" s="25" t="str">
        <f>IF($A23="","",Jul!AL22)</f>
        <v/>
      </c>
      <c r="V23" s="25" t="str">
        <f>IF($A23="","",Aug!AL22)</f>
        <v/>
      </c>
      <c r="W23" s="25" t="str">
        <f>IF($A23="","",Sep!AL22)</f>
        <v/>
      </c>
      <c r="X23" s="25" t="str">
        <f>IF($A23="","",Oct!AL22)</f>
        <v/>
      </c>
      <c r="Y23" s="25" t="str">
        <f>IF($A23="","",Nov!AL22)</f>
        <v/>
      </c>
      <c r="Z23" s="25" t="str">
        <f>IF($A23="","",Dec!AL22)</f>
        <v/>
      </c>
      <c r="AA23" s="25" t="str">
        <f t="shared" si="1"/>
        <v/>
      </c>
    </row>
    <row r="24" spans="1:27" x14ac:dyDescent="0.3">
      <c r="A24" s="21" t="str">
        <f>IF(INDEX(Workers!$C:$C,23)="","",INDEX(Workers!$C:$C,23))</f>
        <v/>
      </c>
      <c r="B24" s="24" t="str">
        <f>IF($A24="","",Jan!AJ23)</f>
        <v/>
      </c>
      <c r="C24" s="24" t="str">
        <f>IF($A24="","",Feb!AJ23)</f>
        <v/>
      </c>
      <c r="D24" s="24" t="str">
        <f>IF($A24="","",Mar!AJ23)</f>
        <v/>
      </c>
      <c r="E24" s="24" t="str">
        <f>IF($A24="","",Apr!AJ23)</f>
        <v/>
      </c>
      <c r="F24" s="24" t="str">
        <f>IF($A24="","",May!AJ23)</f>
        <v/>
      </c>
      <c r="G24" s="24" t="str">
        <f>IF($A24="","",Jun!AJ23)</f>
        <v/>
      </c>
      <c r="H24" s="24" t="str">
        <f>IF($A24="","",Jul!AJ23)</f>
        <v/>
      </c>
      <c r="I24" s="24" t="str">
        <f>IF($A24="","",Aug!AJ23)</f>
        <v/>
      </c>
      <c r="J24" s="24" t="str">
        <f>IF($A24="","",Sep!AJ23)</f>
        <v/>
      </c>
      <c r="K24" s="24" t="str">
        <f>IF($A24="","",Oct!AJ23)</f>
        <v/>
      </c>
      <c r="L24" s="24" t="str">
        <f>IF($A24="","",Nov!AJ23)</f>
        <v/>
      </c>
      <c r="M24" s="24" t="str">
        <f>IF($A24="","",Dec!AJ23)</f>
        <v/>
      </c>
      <c r="N24" s="24" t="str">
        <f t="shared" si="0"/>
        <v/>
      </c>
      <c r="O24" s="25" t="str">
        <f>IF($A24="","",Jan!AL23)</f>
        <v/>
      </c>
      <c r="P24" s="25" t="str">
        <f>IF($A24="","",Feb!AL23)</f>
        <v/>
      </c>
      <c r="Q24" s="25" t="str">
        <f>IF($A24="","",Mar!AL23)</f>
        <v/>
      </c>
      <c r="R24" s="25" t="str">
        <f>IF($A24="","",Apr!AL23)</f>
        <v/>
      </c>
      <c r="S24" s="25" t="str">
        <f>IF($A24="","",May!AL23)</f>
        <v/>
      </c>
      <c r="T24" s="25" t="str">
        <f>IF($A24="","",Jun!AL23)</f>
        <v/>
      </c>
      <c r="U24" s="25" t="str">
        <f>IF($A24="","",Jul!AL23)</f>
        <v/>
      </c>
      <c r="V24" s="25" t="str">
        <f>IF($A24="","",Aug!AL23)</f>
        <v/>
      </c>
      <c r="W24" s="25" t="str">
        <f>IF($A24="","",Sep!AL23)</f>
        <v/>
      </c>
      <c r="X24" s="25" t="str">
        <f>IF($A24="","",Oct!AL23)</f>
        <v/>
      </c>
      <c r="Y24" s="25" t="str">
        <f>IF($A24="","",Nov!AL23)</f>
        <v/>
      </c>
      <c r="Z24" s="25" t="str">
        <f>IF($A24="","",Dec!AL23)</f>
        <v/>
      </c>
      <c r="AA24" s="25" t="str">
        <f t="shared" si="1"/>
        <v/>
      </c>
    </row>
    <row r="25" spans="1:27" x14ac:dyDescent="0.3">
      <c r="A25" s="21" t="str">
        <f>IF(INDEX(Workers!$C:$C,24)="","",INDEX(Workers!$C:$C,24))</f>
        <v/>
      </c>
      <c r="B25" s="24" t="str">
        <f>IF($A25="","",Jan!AJ24)</f>
        <v/>
      </c>
      <c r="C25" s="24" t="str">
        <f>IF($A25="","",Feb!AJ24)</f>
        <v/>
      </c>
      <c r="D25" s="24" t="str">
        <f>IF($A25="","",Mar!AJ24)</f>
        <v/>
      </c>
      <c r="E25" s="24" t="str">
        <f>IF($A25="","",Apr!AJ24)</f>
        <v/>
      </c>
      <c r="F25" s="24" t="str">
        <f>IF($A25="","",May!AJ24)</f>
        <v/>
      </c>
      <c r="G25" s="24" t="str">
        <f>IF($A25="","",Jun!AJ24)</f>
        <v/>
      </c>
      <c r="H25" s="24" t="str">
        <f>IF($A25="","",Jul!AJ24)</f>
        <v/>
      </c>
      <c r="I25" s="24" t="str">
        <f>IF($A25="","",Aug!AJ24)</f>
        <v/>
      </c>
      <c r="J25" s="24" t="str">
        <f>IF($A25="","",Sep!AJ24)</f>
        <v/>
      </c>
      <c r="K25" s="24" t="str">
        <f>IF($A25="","",Oct!AJ24)</f>
        <v/>
      </c>
      <c r="L25" s="24" t="str">
        <f>IF($A25="","",Nov!AJ24)</f>
        <v/>
      </c>
      <c r="M25" s="24" t="str">
        <f>IF($A25="","",Dec!AJ24)</f>
        <v/>
      </c>
      <c r="N25" s="24" t="str">
        <f t="shared" si="0"/>
        <v/>
      </c>
      <c r="O25" s="25" t="str">
        <f>IF($A25="","",Jan!AL24)</f>
        <v/>
      </c>
      <c r="P25" s="25" t="str">
        <f>IF($A25="","",Feb!AL24)</f>
        <v/>
      </c>
      <c r="Q25" s="25" t="str">
        <f>IF($A25="","",Mar!AL24)</f>
        <v/>
      </c>
      <c r="R25" s="25" t="str">
        <f>IF($A25="","",Apr!AL24)</f>
        <v/>
      </c>
      <c r="S25" s="25" t="str">
        <f>IF($A25="","",May!AL24)</f>
        <v/>
      </c>
      <c r="T25" s="25" t="str">
        <f>IF($A25="","",Jun!AL24)</f>
        <v/>
      </c>
      <c r="U25" s="25" t="str">
        <f>IF($A25="","",Jul!AL24)</f>
        <v/>
      </c>
      <c r="V25" s="25" t="str">
        <f>IF($A25="","",Aug!AL24)</f>
        <v/>
      </c>
      <c r="W25" s="25" t="str">
        <f>IF($A25="","",Sep!AL24)</f>
        <v/>
      </c>
      <c r="X25" s="25" t="str">
        <f>IF($A25="","",Oct!AL24)</f>
        <v/>
      </c>
      <c r="Y25" s="25" t="str">
        <f>IF($A25="","",Nov!AL24)</f>
        <v/>
      </c>
      <c r="Z25" s="25" t="str">
        <f>IF($A25="","",Dec!AL24)</f>
        <v/>
      </c>
      <c r="AA25" s="25" t="str">
        <f t="shared" si="1"/>
        <v/>
      </c>
    </row>
    <row r="26" spans="1:27" x14ac:dyDescent="0.3">
      <c r="A26" s="21" t="str">
        <f>IF(INDEX(Workers!$C:$C,25)="","",INDEX(Workers!$C:$C,25))</f>
        <v/>
      </c>
      <c r="B26" s="24" t="str">
        <f>IF($A26="","",Jan!AJ25)</f>
        <v/>
      </c>
      <c r="C26" s="24" t="str">
        <f>IF($A26="","",Feb!AJ25)</f>
        <v/>
      </c>
      <c r="D26" s="24" t="str">
        <f>IF($A26="","",Mar!AJ25)</f>
        <v/>
      </c>
      <c r="E26" s="24" t="str">
        <f>IF($A26="","",Apr!AJ25)</f>
        <v/>
      </c>
      <c r="F26" s="24" t="str">
        <f>IF($A26="","",May!AJ25)</f>
        <v/>
      </c>
      <c r="G26" s="24" t="str">
        <f>IF($A26="","",Jun!AJ25)</f>
        <v/>
      </c>
      <c r="H26" s="24" t="str">
        <f>IF($A26="","",Jul!AJ25)</f>
        <v/>
      </c>
      <c r="I26" s="24" t="str">
        <f>IF($A26="","",Aug!AJ25)</f>
        <v/>
      </c>
      <c r="J26" s="24" t="str">
        <f>IF($A26="","",Sep!AJ25)</f>
        <v/>
      </c>
      <c r="K26" s="24" t="str">
        <f>IF($A26="","",Oct!AJ25)</f>
        <v/>
      </c>
      <c r="L26" s="24" t="str">
        <f>IF($A26="","",Nov!AJ25)</f>
        <v/>
      </c>
      <c r="M26" s="24" t="str">
        <f>IF($A26="","",Dec!AJ25)</f>
        <v/>
      </c>
      <c r="N26" s="24" t="str">
        <f t="shared" si="0"/>
        <v/>
      </c>
      <c r="O26" s="25" t="str">
        <f>IF($A26="","",Jan!AL25)</f>
        <v/>
      </c>
      <c r="P26" s="25" t="str">
        <f>IF($A26="","",Feb!AL25)</f>
        <v/>
      </c>
      <c r="Q26" s="25" t="str">
        <f>IF($A26="","",Mar!AL25)</f>
        <v/>
      </c>
      <c r="R26" s="25" t="str">
        <f>IF($A26="","",Apr!AL25)</f>
        <v/>
      </c>
      <c r="S26" s="25" t="str">
        <f>IF($A26="","",May!AL25)</f>
        <v/>
      </c>
      <c r="T26" s="25" t="str">
        <f>IF($A26="","",Jun!AL25)</f>
        <v/>
      </c>
      <c r="U26" s="25" t="str">
        <f>IF($A26="","",Jul!AL25)</f>
        <v/>
      </c>
      <c r="V26" s="25" t="str">
        <f>IF($A26="","",Aug!AL25)</f>
        <v/>
      </c>
      <c r="W26" s="25" t="str">
        <f>IF($A26="","",Sep!AL25)</f>
        <v/>
      </c>
      <c r="X26" s="25" t="str">
        <f>IF($A26="","",Oct!AL25)</f>
        <v/>
      </c>
      <c r="Y26" s="25" t="str">
        <f>IF($A26="","",Nov!AL25)</f>
        <v/>
      </c>
      <c r="Z26" s="25" t="str">
        <f>IF($A26="","",Dec!AL25)</f>
        <v/>
      </c>
      <c r="AA26" s="25" t="str">
        <f t="shared" si="1"/>
        <v/>
      </c>
    </row>
    <row r="27" spans="1:27" x14ac:dyDescent="0.3">
      <c r="A27" s="21" t="str">
        <f>IF(INDEX(Workers!$C:$C,26)="","",INDEX(Workers!$C:$C,26))</f>
        <v/>
      </c>
      <c r="B27" s="24" t="str">
        <f>IF($A27="","",Jan!AJ26)</f>
        <v/>
      </c>
      <c r="C27" s="24" t="str">
        <f>IF($A27="","",Feb!AJ26)</f>
        <v/>
      </c>
      <c r="D27" s="24" t="str">
        <f>IF($A27="","",Mar!AJ26)</f>
        <v/>
      </c>
      <c r="E27" s="24" t="str">
        <f>IF($A27="","",Apr!AJ26)</f>
        <v/>
      </c>
      <c r="F27" s="24" t="str">
        <f>IF($A27="","",May!AJ26)</f>
        <v/>
      </c>
      <c r="G27" s="24" t="str">
        <f>IF($A27="","",Jun!AJ26)</f>
        <v/>
      </c>
      <c r="H27" s="24" t="str">
        <f>IF($A27="","",Jul!AJ26)</f>
        <v/>
      </c>
      <c r="I27" s="24" t="str">
        <f>IF($A27="","",Aug!AJ26)</f>
        <v/>
      </c>
      <c r="J27" s="24" t="str">
        <f>IF($A27="","",Sep!AJ26)</f>
        <v/>
      </c>
      <c r="K27" s="24" t="str">
        <f>IF($A27="","",Oct!AJ26)</f>
        <v/>
      </c>
      <c r="L27" s="24" t="str">
        <f>IF($A27="","",Nov!AJ26)</f>
        <v/>
      </c>
      <c r="M27" s="24" t="str">
        <f>IF($A27="","",Dec!AJ26)</f>
        <v/>
      </c>
      <c r="N27" s="24" t="str">
        <f t="shared" si="0"/>
        <v/>
      </c>
      <c r="O27" s="25" t="str">
        <f>IF($A27="","",Jan!AL26)</f>
        <v/>
      </c>
      <c r="P27" s="25" t="str">
        <f>IF($A27="","",Feb!AL26)</f>
        <v/>
      </c>
      <c r="Q27" s="25" t="str">
        <f>IF($A27="","",Mar!AL26)</f>
        <v/>
      </c>
      <c r="R27" s="25" t="str">
        <f>IF($A27="","",Apr!AL26)</f>
        <v/>
      </c>
      <c r="S27" s="25" t="str">
        <f>IF($A27="","",May!AL26)</f>
        <v/>
      </c>
      <c r="T27" s="25" t="str">
        <f>IF($A27="","",Jun!AL26)</f>
        <v/>
      </c>
      <c r="U27" s="25" t="str">
        <f>IF($A27="","",Jul!AL26)</f>
        <v/>
      </c>
      <c r="V27" s="25" t="str">
        <f>IF($A27="","",Aug!AL26)</f>
        <v/>
      </c>
      <c r="W27" s="25" t="str">
        <f>IF($A27="","",Sep!AL26)</f>
        <v/>
      </c>
      <c r="X27" s="25" t="str">
        <f>IF($A27="","",Oct!AL26)</f>
        <v/>
      </c>
      <c r="Y27" s="25" t="str">
        <f>IF($A27="","",Nov!AL26)</f>
        <v/>
      </c>
      <c r="Z27" s="25" t="str">
        <f>IF($A27="","",Dec!AL26)</f>
        <v/>
      </c>
      <c r="AA27" s="25" t="str">
        <f t="shared" si="1"/>
        <v/>
      </c>
    </row>
    <row r="28" spans="1:27" x14ac:dyDescent="0.3">
      <c r="A28" s="21" t="str">
        <f>IF(INDEX(Workers!$C:$C,27)="","",INDEX(Workers!$C:$C,27))</f>
        <v/>
      </c>
      <c r="B28" s="24" t="str">
        <f>IF($A28="","",Jan!AJ27)</f>
        <v/>
      </c>
      <c r="C28" s="24" t="str">
        <f>IF($A28="","",Feb!AJ27)</f>
        <v/>
      </c>
      <c r="D28" s="24" t="str">
        <f>IF($A28="","",Mar!AJ27)</f>
        <v/>
      </c>
      <c r="E28" s="24" t="str">
        <f>IF($A28="","",Apr!AJ27)</f>
        <v/>
      </c>
      <c r="F28" s="24" t="str">
        <f>IF($A28="","",May!AJ27)</f>
        <v/>
      </c>
      <c r="G28" s="24" t="str">
        <f>IF($A28="","",Jun!AJ27)</f>
        <v/>
      </c>
      <c r="H28" s="24" t="str">
        <f>IF($A28="","",Jul!AJ27)</f>
        <v/>
      </c>
      <c r="I28" s="24" t="str">
        <f>IF($A28="","",Aug!AJ27)</f>
        <v/>
      </c>
      <c r="J28" s="24" t="str">
        <f>IF($A28="","",Sep!AJ27)</f>
        <v/>
      </c>
      <c r="K28" s="24" t="str">
        <f>IF($A28="","",Oct!AJ27)</f>
        <v/>
      </c>
      <c r="L28" s="24" t="str">
        <f>IF($A28="","",Nov!AJ27)</f>
        <v/>
      </c>
      <c r="M28" s="24" t="str">
        <f>IF($A28="","",Dec!AJ27)</f>
        <v/>
      </c>
      <c r="N28" s="24" t="str">
        <f t="shared" si="0"/>
        <v/>
      </c>
      <c r="O28" s="25" t="str">
        <f>IF($A28="","",Jan!AL27)</f>
        <v/>
      </c>
      <c r="P28" s="25" t="str">
        <f>IF($A28="","",Feb!AL27)</f>
        <v/>
      </c>
      <c r="Q28" s="25" t="str">
        <f>IF($A28="","",Mar!AL27)</f>
        <v/>
      </c>
      <c r="R28" s="25" t="str">
        <f>IF($A28="","",Apr!AL27)</f>
        <v/>
      </c>
      <c r="S28" s="25" t="str">
        <f>IF($A28="","",May!AL27)</f>
        <v/>
      </c>
      <c r="T28" s="25" t="str">
        <f>IF($A28="","",Jun!AL27)</f>
        <v/>
      </c>
      <c r="U28" s="25" t="str">
        <f>IF($A28="","",Jul!AL27)</f>
        <v/>
      </c>
      <c r="V28" s="25" t="str">
        <f>IF($A28="","",Aug!AL27)</f>
        <v/>
      </c>
      <c r="W28" s="25" t="str">
        <f>IF($A28="","",Sep!AL27)</f>
        <v/>
      </c>
      <c r="X28" s="25" t="str">
        <f>IF($A28="","",Oct!AL27)</f>
        <v/>
      </c>
      <c r="Y28" s="25" t="str">
        <f>IF($A28="","",Nov!AL27)</f>
        <v/>
      </c>
      <c r="Z28" s="25" t="str">
        <f>IF($A28="","",Dec!AL27)</f>
        <v/>
      </c>
      <c r="AA28" s="25" t="str">
        <f t="shared" si="1"/>
        <v/>
      </c>
    </row>
    <row r="29" spans="1:27" x14ac:dyDescent="0.3">
      <c r="A29" s="21" t="str">
        <f>IF(INDEX(Workers!$C:$C,28)="","",INDEX(Workers!$C:$C,28))</f>
        <v/>
      </c>
      <c r="B29" s="24" t="str">
        <f>IF($A29="","",Jan!AJ28)</f>
        <v/>
      </c>
      <c r="C29" s="24" t="str">
        <f>IF($A29="","",Feb!AJ28)</f>
        <v/>
      </c>
      <c r="D29" s="24" t="str">
        <f>IF($A29="","",Mar!AJ28)</f>
        <v/>
      </c>
      <c r="E29" s="24" t="str">
        <f>IF($A29="","",Apr!AJ28)</f>
        <v/>
      </c>
      <c r="F29" s="24" t="str">
        <f>IF($A29="","",May!AJ28)</f>
        <v/>
      </c>
      <c r="G29" s="24" t="str">
        <f>IF($A29="","",Jun!AJ28)</f>
        <v/>
      </c>
      <c r="H29" s="24" t="str">
        <f>IF($A29="","",Jul!AJ28)</f>
        <v/>
      </c>
      <c r="I29" s="24" t="str">
        <f>IF($A29="","",Aug!AJ28)</f>
        <v/>
      </c>
      <c r="J29" s="24" t="str">
        <f>IF($A29="","",Sep!AJ28)</f>
        <v/>
      </c>
      <c r="K29" s="24" t="str">
        <f>IF($A29="","",Oct!AJ28)</f>
        <v/>
      </c>
      <c r="L29" s="24" t="str">
        <f>IF($A29="","",Nov!AJ28)</f>
        <v/>
      </c>
      <c r="M29" s="24" t="str">
        <f>IF($A29="","",Dec!AJ28)</f>
        <v/>
      </c>
      <c r="N29" s="24" t="str">
        <f t="shared" si="0"/>
        <v/>
      </c>
      <c r="O29" s="25" t="str">
        <f>IF($A29="","",Jan!AL28)</f>
        <v/>
      </c>
      <c r="P29" s="25" t="str">
        <f>IF($A29="","",Feb!AL28)</f>
        <v/>
      </c>
      <c r="Q29" s="25" t="str">
        <f>IF($A29="","",Mar!AL28)</f>
        <v/>
      </c>
      <c r="R29" s="25" t="str">
        <f>IF($A29="","",Apr!AL28)</f>
        <v/>
      </c>
      <c r="S29" s="25" t="str">
        <f>IF($A29="","",May!AL28)</f>
        <v/>
      </c>
      <c r="T29" s="25" t="str">
        <f>IF($A29="","",Jun!AL28)</f>
        <v/>
      </c>
      <c r="U29" s="25" t="str">
        <f>IF($A29="","",Jul!AL28)</f>
        <v/>
      </c>
      <c r="V29" s="25" t="str">
        <f>IF($A29="","",Aug!AL28)</f>
        <v/>
      </c>
      <c r="W29" s="25" t="str">
        <f>IF($A29="","",Sep!AL28)</f>
        <v/>
      </c>
      <c r="X29" s="25" t="str">
        <f>IF($A29="","",Oct!AL28)</f>
        <v/>
      </c>
      <c r="Y29" s="25" t="str">
        <f>IF($A29="","",Nov!AL28)</f>
        <v/>
      </c>
      <c r="Z29" s="25" t="str">
        <f>IF($A29="","",Dec!AL28)</f>
        <v/>
      </c>
      <c r="AA29" s="25" t="str">
        <f t="shared" si="1"/>
        <v/>
      </c>
    </row>
    <row r="30" spans="1:27" x14ac:dyDescent="0.3">
      <c r="A30" s="21" t="str">
        <f>IF(INDEX(Workers!$C:$C,29)="","",INDEX(Workers!$C:$C,29))</f>
        <v/>
      </c>
      <c r="B30" s="24" t="str">
        <f>IF($A30="","",Jan!AJ29)</f>
        <v/>
      </c>
      <c r="C30" s="24" t="str">
        <f>IF($A30="","",Feb!AJ29)</f>
        <v/>
      </c>
      <c r="D30" s="24" t="str">
        <f>IF($A30="","",Mar!AJ29)</f>
        <v/>
      </c>
      <c r="E30" s="24" t="str">
        <f>IF($A30="","",Apr!AJ29)</f>
        <v/>
      </c>
      <c r="F30" s="24" t="str">
        <f>IF($A30="","",May!AJ29)</f>
        <v/>
      </c>
      <c r="G30" s="24" t="str">
        <f>IF($A30="","",Jun!AJ29)</f>
        <v/>
      </c>
      <c r="H30" s="24" t="str">
        <f>IF($A30="","",Jul!AJ29)</f>
        <v/>
      </c>
      <c r="I30" s="24" t="str">
        <f>IF($A30="","",Aug!AJ29)</f>
        <v/>
      </c>
      <c r="J30" s="24" t="str">
        <f>IF($A30="","",Sep!AJ29)</f>
        <v/>
      </c>
      <c r="K30" s="24" t="str">
        <f>IF($A30="","",Oct!AJ29)</f>
        <v/>
      </c>
      <c r="L30" s="24" t="str">
        <f>IF($A30="","",Nov!AJ29)</f>
        <v/>
      </c>
      <c r="M30" s="24" t="str">
        <f>IF($A30="","",Dec!AJ29)</f>
        <v/>
      </c>
      <c r="N30" s="24" t="str">
        <f t="shared" si="0"/>
        <v/>
      </c>
      <c r="O30" s="25" t="str">
        <f>IF($A30="","",Jan!AL29)</f>
        <v/>
      </c>
      <c r="P30" s="25" t="str">
        <f>IF($A30="","",Feb!AL29)</f>
        <v/>
      </c>
      <c r="Q30" s="25" t="str">
        <f>IF($A30="","",Mar!AL29)</f>
        <v/>
      </c>
      <c r="R30" s="25" t="str">
        <f>IF($A30="","",Apr!AL29)</f>
        <v/>
      </c>
      <c r="S30" s="25" t="str">
        <f>IF($A30="","",May!AL29)</f>
        <v/>
      </c>
      <c r="T30" s="25" t="str">
        <f>IF($A30="","",Jun!AL29)</f>
        <v/>
      </c>
      <c r="U30" s="25" t="str">
        <f>IF($A30="","",Jul!AL29)</f>
        <v/>
      </c>
      <c r="V30" s="25" t="str">
        <f>IF($A30="","",Aug!AL29)</f>
        <v/>
      </c>
      <c r="W30" s="25" t="str">
        <f>IF($A30="","",Sep!AL29)</f>
        <v/>
      </c>
      <c r="X30" s="25" t="str">
        <f>IF($A30="","",Oct!AL29)</f>
        <v/>
      </c>
      <c r="Y30" s="25" t="str">
        <f>IF($A30="","",Nov!AL29)</f>
        <v/>
      </c>
      <c r="Z30" s="25" t="str">
        <f>IF($A30="","",Dec!AL29)</f>
        <v/>
      </c>
      <c r="AA30" s="25" t="str">
        <f t="shared" si="1"/>
        <v/>
      </c>
    </row>
    <row r="31" spans="1:27" x14ac:dyDescent="0.3">
      <c r="A31" s="21" t="str">
        <f>IF(INDEX(Workers!$C:$C,30)="","",INDEX(Workers!$C:$C,30))</f>
        <v/>
      </c>
      <c r="B31" s="24" t="str">
        <f>IF($A31="","",Jan!AJ30)</f>
        <v/>
      </c>
      <c r="C31" s="24" t="str">
        <f>IF($A31="","",Feb!AJ30)</f>
        <v/>
      </c>
      <c r="D31" s="24" t="str">
        <f>IF($A31="","",Mar!AJ30)</f>
        <v/>
      </c>
      <c r="E31" s="24" t="str">
        <f>IF($A31="","",Apr!AJ30)</f>
        <v/>
      </c>
      <c r="F31" s="24" t="str">
        <f>IF($A31="","",May!AJ30)</f>
        <v/>
      </c>
      <c r="G31" s="24" t="str">
        <f>IF($A31="","",Jun!AJ30)</f>
        <v/>
      </c>
      <c r="H31" s="24" t="str">
        <f>IF($A31="","",Jul!AJ30)</f>
        <v/>
      </c>
      <c r="I31" s="24" t="str">
        <f>IF($A31="","",Aug!AJ30)</f>
        <v/>
      </c>
      <c r="J31" s="24" t="str">
        <f>IF($A31="","",Sep!AJ30)</f>
        <v/>
      </c>
      <c r="K31" s="24" t="str">
        <f>IF($A31="","",Oct!AJ30)</f>
        <v/>
      </c>
      <c r="L31" s="24" t="str">
        <f>IF($A31="","",Nov!AJ30)</f>
        <v/>
      </c>
      <c r="M31" s="24" t="str">
        <f>IF($A31="","",Dec!AJ30)</f>
        <v/>
      </c>
      <c r="N31" s="24" t="str">
        <f t="shared" si="0"/>
        <v/>
      </c>
      <c r="O31" s="25" t="str">
        <f>IF($A31="","",Jan!AL30)</f>
        <v/>
      </c>
      <c r="P31" s="25" t="str">
        <f>IF($A31="","",Feb!AL30)</f>
        <v/>
      </c>
      <c r="Q31" s="25" t="str">
        <f>IF($A31="","",Mar!AL30)</f>
        <v/>
      </c>
      <c r="R31" s="25" t="str">
        <f>IF($A31="","",Apr!AL30)</f>
        <v/>
      </c>
      <c r="S31" s="25" t="str">
        <f>IF($A31="","",May!AL30)</f>
        <v/>
      </c>
      <c r="T31" s="25" t="str">
        <f>IF($A31="","",Jun!AL30)</f>
        <v/>
      </c>
      <c r="U31" s="25" t="str">
        <f>IF($A31="","",Jul!AL30)</f>
        <v/>
      </c>
      <c r="V31" s="25" t="str">
        <f>IF($A31="","",Aug!AL30)</f>
        <v/>
      </c>
      <c r="W31" s="25" t="str">
        <f>IF($A31="","",Sep!AL30)</f>
        <v/>
      </c>
      <c r="X31" s="25" t="str">
        <f>IF($A31="","",Oct!AL30)</f>
        <v/>
      </c>
      <c r="Y31" s="25" t="str">
        <f>IF($A31="","",Nov!AL30)</f>
        <v/>
      </c>
      <c r="Z31" s="25" t="str">
        <f>IF($A31="","",Dec!AL30)</f>
        <v/>
      </c>
      <c r="AA31" s="25" t="str">
        <f t="shared" si="1"/>
        <v/>
      </c>
    </row>
    <row r="32" spans="1:27" x14ac:dyDescent="0.3">
      <c r="A32" s="21" t="str">
        <f>IF(INDEX(Workers!$C:$C,31)="","",INDEX(Workers!$C:$C,31))</f>
        <v/>
      </c>
      <c r="B32" s="24" t="str">
        <f>IF($A32="","",Jan!AJ31)</f>
        <v/>
      </c>
      <c r="C32" s="24" t="str">
        <f>IF($A32="","",Feb!AJ31)</f>
        <v/>
      </c>
      <c r="D32" s="24" t="str">
        <f>IF($A32="","",Mar!AJ31)</f>
        <v/>
      </c>
      <c r="E32" s="24" t="str">
        <f>IF($A32="","",Apr!AJ31)</f>
        <v/>
      </c>
      <c r="F32" s="24" t="str">
        <f>IF($A32="","",May!AJ31)</f>
        <v/>
      </c>
      <c r="G32" s="24" t="str">
        <f>IF($A32="","",Jun!AJ31)</f>
        <v/>
      </c>
      <c r="H32" s="24" t="str">
        <f>IF($A32="","",Jul!AJ31)</f>
        <v/>
      </c>
      <c r="I32" s="24" t="str">
        <f>IF($A32="","",Aug!AJ31)</f>
        <v/>
      </c>
      <c r="J32" s="24" t="str">
        <f>IF($A32="","",Sep!AJ31)</f>
        <v/>
      </c>
      <c r="K32" s="24" t="str">
        <f>IF($A32="","",Oct!AJ31)</f>
        <v/>
      </c>
      <c r="L32" s="24" t="str">
        <f>IF($A32="","",Nov!AJ31)</f>
        <v/>
      </c>
      <c r="M32" s="24" t="str">
        <f>IF($A32="","",Dec!AJ31)</f>
        <v/>
      </c>
      <c r="N32" s="24" t="str">
        <f t="shared" si="0"/>
        <v/>
      </c>
      <c r="O32" s="25" t="str">
        <f>IF($A32="","",Jan!AL31)</f>
        <v/>
      </c>
      <c r="P32" s="25" t="str">
        <f>IF($A32="","",Feb!AL31)</f>
        <v/>
      </c>
      <c r="Q32" s="25" t="str">
        <f>IF($A32="","",Mar!AL31)</f>
        <v/>
      </c>
      <c r="R32" s="25" t="str">
        <f>IF($A32="","",Apr!AL31)</f>
        <v/>
      </c>
      <c r="S32" s="25" t="str">
        <f>IF($A32="","",May!AL31)</f>
        <v/>
      </c>
      <c r="T32" s="25" t="str">
        <f>IF($A32="","",Jun!AL31)</f>
        <v/>
      </c>
      <c r="U32" s="25" t="str">
        <f>IF($A32="","",Jul!AL31)</f>
        <v/>
      </c>
      <c r="V32" s="25" t="str">
        <f>IF($A32="","",Aug!AL31)</f>
        <v/>
      </c>
      <c r="W32" s="25" t="str">
        <f>IF($A32="","",Sep!AL31)</f>
        <v/>
      </c>
      <c r="X32" s="25" t="str">
        <f>IF($A32="","",Oct!AL31)</f>
        <v/>
      </c>
      <c r="Y32" s="25" t="str">
        <f>IF($A32="","",Nov!AL31)</f>
        <v/>
      </c>
      <c r="Z32" s="25" t="str">
        <f>IF($A32="","",Dec!AL31)</f>
        <v/>
      </c>
      <c r="AA32" s="25" t="str">
        <f t="shared" si="1"/>
        <v/>
      </c>
    </row>
    <row r="33" spans="1:27" x14ac:dyDescent="0.3">
      <c r="A33" s="21" t="str">
        <f>IF(INDEX(Workers!$C:$C,32)="","",INDEX(Workers!$C:$C,32))</f>
        <v/>
      </c>
      <c r="B33" s="24" t="str">
        <f>IF($A33="","",Jan!AJ32)</f>
        <v/>
      </c>
      <c r="C33" s="24" t="str">
        <f>IF($A33="","",Feb!AJ32)</f>
        <v/>
      </c>
      <c r="D33" s="24" t="str">
        <f>IF($A33="","",Mar!AJ32)</f>
        <v/>
      </c>
      <c r="E33" s="24" t="str">
        <f>IF($A33="","",Apr!AJ32)</f>
        <v/>
      </c>
      <c r="F33" s="24" t="str">
        <f>IF($A33="","",May!AJ32)</f>
        <v/>
      </c>
      <c r="G33" s="24" t="str">
        <f>IF($A33="","",Jun!AJ32)</f>
        <v/>
      </c>
      <c r="H33" s="24" t="str">
        <f>IF($A33="","",Jul!AJ32)</f>
        <v/>
      </c>
      <c r="I33" s="24" t="str">
        <f>IF($A33="","",Aug!AJ32)</f>
        <v/>
      </c>
      <c r="J33" s="24" t="str">
        <f>IF($A33="","",Sep!AJ32)</f>
        <v/>
      </c>
      <c r="K33" s="24" t="str">
        <f>IF($A33="","",Oct!AJ32)</f>
        <v/>
      </c>
      <c r="L33" s="24" t="str">
        <f>IF($A33="","",Nov!AJ32)</f>
        <v/>
      </c>
      <c r="M33" s="24" t="str">
        <f>IF($A33="","",Dec!AJ32)</f>
        <v/>
      </c>
      <c r="N33" s="24" t="str">
        <f t="shared" si="0"/>
        <v/>
      </c>
      <c r="O33" s="25" t="str">
        <f>IF($A33="","",Jan!AL32)</f>
        <v/>
      </c>
      <c r="P33" s="25" t="str">
        <f>IF($A33="","",Feb!AL32)</f>
        <v/>
      </c>
      <c r="Q33" s="25" t="str">
        <f>IF($A33="","",Mar!AL32)</f>
        <v/>
      </c>
      <c r="R33" s="25" t="str">
        <f>IF($A33="","",Apr!AL32)</f>
        <v/>
      </c>
      <c r="S33" s="25" t="str">
        <f>IF($A33="","",May!AL32)</f>
        <v/>
      </c>
      <c r="T33" s="25" t="str">
        <f>IF($A33="","",Jun!AL32)</f>
        <v/>
      </c>
      <c r="U33" s="25" t="str">
        <f>IF($A33="","",Jul!AL32)</f>
        <v/>
      </c>
      <c r="V33" s="25" t="str">
        <f>IF($A33="","",Aug!AL32)</f>
        <v/>
      </c>
      <c r="W33" s="25" t="str">
        <f>IF($A33="","",Sep!AL32)</f>
        <v/>
      </c>
      <c r="X33" s="25" t="str">
        <f>IF($A33="","",Oct!AL32)</f>
        <v/>
      </c>
      <c r="Y33" s="25" t="str">
        <f>IF($A33="","",Nov!AL32)</f>
        <v/>
      </c>
      <c r="Z33" s="25" t="str">
        <f>IF($A33="","",Dec!AL32)</f>
        <v/>
      </c>
      <c r="AA33" s="25" t="str">
        <f t="shared" si="1"/>
        <v/>
      </c>
    </row>
    <row r="34" spans="1:27" x14ac:dyDescent="0.3">
      <c r="A34" s="21" t="str">
        <f>IF(INDEX(Workers!$C:$C,33)="","",INDEX(Workers!$C:$C,33))</f>
        <v/>
      </c>
      <c r="B34" s="24" t="str">
        <f>IF($A34="","",Jan!AJ33)</f>
        <v/>
      </c>
      <c r="C34" s="24" t="str">
        <f>IF($A34="","",Feb!AJ33)</f>
        <v/>
      </c>
      <c r="D34" s="24" t="str">
        <f>IF($A34="","",Mar!AJ33)</f>
        <v/>
      </c>
      <c r="E34" s="24" t="str">
        <f>IF($A34="","",Apr!AJ33)</f>
        <v/>
      </c>
      <c r="F34" s="24" t="str">
        <f>IF($A34="","",May!AJ33)</f>
        <v/>
      </c>
      <c r="G34" s="24" t="str">
        <f>IF($A34="","",Jun!AJ33)</f>
        <v/>
      </c>
      <c r="H34" s="24" t="str">
        <f>IF($A34="","",Jul!AJ33)</f>
        <v/>
      </c>
      <c r="I34" s="24" t="str">
        <f>IF($A34="","",Aug!AJ33)</f>
        <v/>
      </c>
      <c r="J34" s="24" t="str">
        <f>IF($A34="","",Sep!AJ33)</f>
        <v/>
      </c>
      <c r="K34" s="24" t="str">
        <f>IF($A34="","",Oct!AJ33)</f>
        <v/>
      </c>
      <c r="L34" s="24" t="str">
        <f>IF($A34="","",Nov!AJ33)</f>
        <v/>
      </c>
      <c r="M34" s="24" t="str">
        <f>IF($A34="","",Dec!AJ33)</f>
        <v/>
      </c>
      <c r="N34" s="24" t="str">
        <f t="shared" si="0"/>
        <v/>
      </c>
      <c r="O34" s="25" t="str">
        <f>IF($A34="","",Jan!AL33)</f>
        <v/>
      </c>
      <c r="P34" s="25" t="str">
        <f>IF($A34="","",Feb!AL33)</f>
        <v/>
      </c>
      <c r="Q34" s="25" t="str">
        <f>IF($A34="","",Mar!AL33)</f>
        <v/>
      </c>
      <c r="R34" s="25" t="str">
        <f>IF($A34="","",Apr!AL33)</f>
        <v/>
      </c>
      <c r="S34" s="25" t="str">
        <f>IF($A34="","",May!AL33)</f>
        <v/>
      </c>
      <c r="T34" s="25" t="str">
        <f>IF($A34="","",Jun!AL33)</f>
        <v/>
      </c>
      <c r="U34" s="25" t="str">
        <f>IF($A34="","",Jul!AL33)</f>
        <v/>
      </c>
      <c r="V34" s="25" t="str">
        <f>IF($A34="","",Aug!AL33)</f>
        <v/>
      </c>
      <c r="W34" s="25" t="str">
        <f>IF($A34="","",Sep!AL33)</f>
        <v/>
      </c>
      <c r="X34" s="25" t="str">
        <f>IF($A34="","",Oct!AL33)</f>
        <v/>
      </c>
      <c r="Y34" s="25" t="str">
        <f>IF($A34="","",Nov!AL33)</f>
        <v/>
      </c>
      <c r="Z34" s="25" t="str">
        <f>IF($A34="","",Dec!AL33)</f>
        <v/>
      </c>
      <c r="AA34" s="25" t="str">
        <f t="shared" si="1"/>
        <v/>
      </c>
    </row>
    <row r="35" spans="1:27" x14ac:dyDescent="0.3">
      <c r="A35" s="21" t="str">
        <f>IF(INDEX(Workers!$C:$C,34)="","",INDEX(Workers!$C:$C,34))</f>
        <v/>
      </c>
      <c r="B35" s="24" t="str">
        <f>IF($A35="","",Jan!AJ34)</f>
        <v/>
      </c>
      <c r="C35" s="24" t="str">
        <f>IF($A35="","",Feb!AJ34)</f>
        <v/>
      </c>
      <c r="D35" s="24" t="str">
        <f>IF($A35="","",Mar!AJ34)</f>
        <v/>
      </c>
      <c r="E35" s="24" t="str">
        <f>IF($A35="","",Apr!AJ34)</f>
        <v/>
      </c>
      <c r="F35" s="24" t="str">
        <f>IF($A35="","",May!AJ34)</f>
        <v/>
      </c>
      <c r="G35" s="24" t="str">
        <f>IF($A35="","",Jun!AJ34)</f>
        <v/>
      </c>
      <c r="H35" s="24" t="str">
        <f>IF($A35="","",Jul!AJ34)</f>
        <v/>
      </c>
      <c r="I35" s="24" t="str">
        <f>IF($A35="","",Aug!AJ34)</f>
        <v/>
      </c>
      <c r="J35" s="24" t="str">
        <f>IF($A35="","",Sep!AJ34)</f>
        <v/>
      </c>
      <c r="K35" s="24" t="str">
        <f>IF($A35="","",Oct!AJ34)</f>
        <v/>
      </c>
      <c r="L35" s="24" t="str">
        <f>IF($A35="","",Nov!AJ34)</f>
        <v/>
      </c>
      <c r="M35" s="24" t="str">
        <f>IF($A35="","",Dec!AJ34)</f>
        <v/>
      </c>
      <c r="N35" s="24" t="str">
        <f t="shared" si="0"/>
        <v/>
      </c>
      <c r="O35" s="25" t="str">
        <f>IF($A35="","",Jan!AL34)</f>
        <v/>
      </c>
      <c r="P35" s="25" t="str">
        <f>IF($A35="","",Feb!AL34)</f>
        <v/>
      </c>
      <c r="Q35" s="25" t="str">
        <f>IF($A35="","",Mar!AL34)</f>
        <v/>
      </c>
      <c r="R35" s="25" t="str">
        <f>IF($A35="","",Apr!AL34)</f>
        <v/>
      </c>
      <c r="S35" s="25" t="str">
        <f>IF($A35="","",May!AL34)</f>
        <v/>
      </c>
      <c r="T35" s="25" t="str">
        <f>IF($A35="","",Jun!AL34)</f>
        <v/>
      </c>
      <c r="U35" s="25" t="str">
        <f>IF($A35="","",Jul!AL34)</f>
        <v/>
      </c>
      <c r="V35" s="25" t="str">
        <f>IF($A35="","",Aug!AL34)</f>
        <v/>
      </c>
      <c r="W35" s="25" t="str">
        <f>IF($A35="","",Sep!AL34)</f>
        <v/>
      </c>
      <c r="X35" s="25" t="str">
        <f>IF($A35="","",Oct!AL34)</f>
        <v/>
      </c>
      <c r="Y35" s="25" t="str">
        <f>IF($A35="","",Nov!AL34)</f>
        <v/>
      </c>
      <c r="Z35" s="25" t="str">
        <f>IF($A35="","",Dec!AL34)</f>
        <v/>
      </c>
      <c r="AA35" s="25" t="str">
        <f t="shared" si="1"/>
        <v/>
      </c>
    </row>
    <row r="36" spans="1:27" x14ac:dyDescent="0.3">
      <c r="A36" s="21" t="str">
        <f>IF(INDEX(Workers!$C:$C,35)="","",INDEX(Workers!$C:$C,35))</f>
        <v/>
      </c>
      <c r="B36" s="24" t="str">
        <f>IF($A36="","",Jan!AJ35)</f>
        <v/>
      </c>
      <c r="C36" s="24" t="str">
        <f>IF($A36="","",Feb!AJ35)</f>
        <v/>
      </c>
      <c r="D36" s="24" t="str">
        <f>IF($A36="","",Mar!AJ35)</f>
        <v/>
      </c>
      <c r="E36" s="24" t="str">
        <f>IF($A36="","",Apr!AJ35)</f>
        <v/>
      </c>
      <c r="F36" s="24" t="str">
        <f>IF($A36="","",May!AJ35)</f>
        <v/>
      </c>
      <c r="G36" s="24" t="str">
        <f>IF($A36="","",Jun!AJ35)</f>
        <v/>
      </c>
      <c r="H36" s="24" t="str">
        <f>IF($A36="","",Jul!AJ35)</f>
        <v/>
      </c>
      <c r="I36" s="24" t="str">
        <f>IF($A36="","",Aug!AJ35)</f>
        <v/>
      </c>
      <c r="J36" s="24" t="str">
        <f>IF($A36="","",Sep!AJ35)</f>
        <v/>
      </c>
      <c r="K36" s="24" t="str">
        <f>IF($A36="","",Oct!AJ35)</f>
        <v/>
      </c>
      <c r="L36" s="24" t="str">
        <f>IF($A36="","",Nov!AJ35)</f>
        <v/>
      </c>
      <c r="M36" s="24" t="str">
        <f>IF($A36="","",Dec!AJ35)</f>
        <v/>
      </c>
      <c r="N36" s="24" t="str">
        <f t="shared" si="0"/>
        <v/>
      </c>
      <c r="O36" s="25" t="str">
        <f>IF($A36="","",Jan!AL35)</f>
        <v/>
      </c>
      <c r="P36" s="25" t="str">
        <f>IF($A36="","",Feb!AL35)</f>
        <v/>
      </c>
      <c r="Q36" s="25" t="str">
        <f>IF($A36="","",Mar!AL35)</f>
        <v/>
      </c>
      <c r="R36" s="25" t="str">
        <f>IF($A36="","",Apr!AL35)</f>
        <v/>
      </c>
      <c r="S36" s="25" t="str">
        <f>IF($A36="","",May!AL35)</f>
        <v/>
      </c>
      <c r="T36" s="25" t="str">
        <f>IF($A36="","",Jun!AL35)</f>
        <v/>
      </c>
      <c r="U36" s="25" t="str">
        <f>IF($A36="","",Jul!AL35)</f>
        <v/>
      </c>
      <c r="V36" s="25" t="str">
        <f>IF($A36="","",Aug!AL35)</f>
        <v/>
      </c>
      <c r="W36" s="25" t="str">
        <f>IF($A36="","",Sep!AL35)</f>
        <v/>
      </c>
      <c r="X36" s="25" t="str">
        <f>IF($A36="","",Oct!AL35)</f>
        <v/>
      </c>
      <c r="Y36" s="25" t="str">
        <f>IF($A36="","",Nov!AL35)</f>
        <v/>
      </c>
      <c r="Z36" s="25" t="str">
        <f>IF($A36="","",Dec!AL35)</f>
        <v/>
      </c>
      <c r="AA36" s="25" t="str">
        <f t="shared" si="1"/>
        <v/>
      </c>
    </row>
    <row r="37" spans="1:27" x14ac:dyDescent="0.3">
      <c r="A37" s="21" t="str">
        <f>IF(INDEX(Workers!$C:$C,36)="","",INDEX(Workers!$C:$C,36))</f>
        <v/>
      </c>
      <c r="B37" s="24" t="str">
        <f>IF($A37="","",Jan!AJ36)</f>
        <v/>
      </c>
      <c r="C37" s="24" t="str">
        <f>IF($A37="","",Feb!AJ36)</f>
        <v/>
      </c>
      <c r="D37" s="24" t="str">
        <f>IF($A37="","",Mar!AJ36)</f>
        <v/>
      </c>
      <c r="E37" s="24" t="str">
        <f>IF($A37="","",Apr!AJ36)</f>
        <v/>
      </c>
      <c r="F37" s="24" t="str">
        <f>IF($A37="","",May!AJ36)</f>
        <v/>
      </c>
      <c r="G37" s="24" t="str">
        <f>IF($A37="","",Jun!AJ36)</f>
        <v/>
      </c>
      <c r="H37" s="24" t="str">
        <f>IF($A37="","",Jul!AJ36)</f>
        <v/>
      </c>
      <c r="I37" s="24" t="str">
        <f>IF($A37="","",Aug!AJ36)</f>
        <v/>
      </c>
      <c r="J37" s="24" t="str">
        <f>IF($A37="","",Sep!AJ36)</f>
        <v/>
      </c>
      <c r="K37" s="24" t="str">
        <f>IF($A37="","",Oct!AJ36)</f>
        <v/>
      </c>
      <c r="L37" s="24" t="str">
        <f>IF($A37="","",Nov!AJ36)</f>
        <v/>
      </c>
      <c r="M37" s="24" t="str">
        <f>IF($A37="","",Dec!AJ36)</f>
        <v/>
      </c>
      <c r="N37" s="24" t="str">
        <f t="shared" si="0"/>
        <v/>
      </c>
      <c r="O37" s="25" t="str">
        <f>IF($A37="","",Jan!AL36)</f>
        <v/>
      </c>
      <c r="P37" s="25" t="str">
        <f>IF($A37="","",Feb!AL36)</f>
        <v/>
      </c>
      <c r="Q37" s="25" t="str">
        <f>IF($A37="","",Mar!AL36)</f>
        <v/>
      </c>
      <c r="R37" s="25" t="str">
        <f>IF($A37="","",Apr!AL36)</f>
        <v/>
      </c>
      <c r="S37" s="25" t="str">
        <f>IF($A37="","",May!AL36)</f>
        <v/>
      </c>
      <c r="T37" s="25" t="str">
        <f>IF($A37="","",Jun!AL36)</f>
        <v/>
      </c>
      <c r="U37" s="25" t="str">
        <f>IF($A37="","",Jul!AL36)</f>
        <v/>
      </c>
      <c r="V37" s="25" t="str">
        <f>IF($A37="","",Aug!AL36)</f>
        <v/>
      </c>
      <c r="W37" s="25" t="str">
        <f>IF($A37="","",Sep!AL36)</f>
        <v/>
      </c>
      <c r="X37" s="25" t="str">
        <f>IF($A37="","",Oct!AL36)</f>
        <v/>
      </c>
      <c r="Y37" s="25" t="str">
        <f>IF($A37="","",Nov!AL36)</f>
        <v/>
      </c>
      <c r="Z37" s="25" t="str">
        <f>IF($A37="","",Dec!AL36)</f>
        <v/>
      </c>
      <c r="AA37" s="25" t="str">
        <f t="shared" si="1"/>
        <v/>
      </c>
    </row>
    <row r="38" spans="1:27" x14ac:dyDescent="0.3">
      <c r="A38" s="21" t="str">
        <f>IF(INDEX(Workers!$C:$C,37)="","",INDEX(Workers!$C:$C,37))</f>
        <v/>
      </c>
      <c r="B38" s="24" t="str">
        <f>IF($A38="","",Jan!AJ37)</f>
        <v/>
      </c>
      <c r="C38" s="24" t="str">
        <f>IF($A38="","",Feb!AJ37)</f>
        <v/>
      </c>
      <c r="D38" s="24" t="str">
        <f>IF($A38="","",Mar!AJ37)</f>
        <v/>
      </c>
      <c r="E38" s="24" t="str">
        <f>IF($A38="","",Apr!AJ37)</f>
        <v/>
      </c>
      <c r="F38" s="24" t="str">
        <f>IF($A38="","",May!AJ37)</f>
        <v/>
      </c>
      <c r="G38" s="24" t="str">
        <f>IF($A38="","",Jun!AJ37)</f>
        <v/>
      </c>
      <c r="H38" s="24" t="str">
        <f>IF($A38="","",Jul!AJ37)</f>
        <v/>
      </c>
      <c r="I38" s="24" t="str">
        <f>IF($A38="","",Aug!AJ37)</f>
        <v/>
      </c>
      <c r="J38" s="24" t="str">
        <f>IF($A38="","",Sep!AJ37)</f>
        <v/>
      </c>
      <c r="K38" s="24" t="str">
        <f>IF($A38="","",Oct!AJ37)</f>
        <v/>
      </c>
      <c r="L38" s="24" t="str">
        <f>IF($A38="","",Nov!AJ37)</f>
        <v/>
      </c>
      <c r="M38" s="24" t="str">
        <f>IF($A38="","",Dec!AJ37)</f>
        <v/>
      </c>
      <c r="N38" s="24" t="str">
        <f t="shared" si="0"/>
        <v/>
      </c>
      <c r="O38" s="25" t="str">
        <f>IF($A38="","",Jan!AL37)</f>
        <v/>
      </c>
      <c r="P38" s="25" t="str">
        <f>IF($A38="","",Feb!AL37)</f>
        <v/>
      </c>
      <c r="Q38" s="25" t="str">
        <f>IF($A38="","",Mar!AL37)</f>
        <v/>
      </c>
      <c r="R38" s="25" t="str">
        <f>IF($A38="","",Apr!AL37)</f>
        <v/>
      </c>
      <c r="S38" s="25" t="str">
        <f>IF($A38="","",May!AL37)</f>
        <v/>
      </c>
      <c r="T38" s="25" t="str">
        <f>IF($A38="","",Jun!AL37)</f>
        <v/>
      </c>
      <c r="U38" s="25" t="str">
        <f>IF($A38="","",Jul!AL37)</f>
        <v/>
      </c>
      <c r="V38" s="25" t="str">
        <f>IF($A38="","",Aug!AL37)</f>
        <v/>
      </c>
      <c r="W38" s="25" t="str">
        <f>IF($A38="","",Sep!AL37)</f>
        <v/>
      </c>
      <c r="X38" s="25" t="str">
        <f>IF($A38="","",Oct!AL37)</f>
        <v/>
      </c>
      <c r="Y38" s="25" t="str">
        <f>IF($A38="","",Nov!AL37)</f>
        <v/>
      </c>
      <c r="Z38" s="25" t="str">
        <f>IF($A38="","",Dec!AL37)</f>
        <v/>
      </c>
      <c r="AA38" s="25" t="str">
        <f t="shared" si="1"/>
        <v/>
      </c>
    </row>
    <row r="39" spans="1:27" x14ac:dyDescent="0.3">
      <c r="A39" s="21" t="str">
        <f>IF(INDEX(Workers!$C:$C,38)="","",INDEX(Workers!$C:$C,38))</f>
        <v/>
      </c>
      <c r="B39" s="24" t="str">
        <f>IF($A39="","",Jan!AJ38)</f>
        <v/>
      </c>
      <c r="C39" s="24" t="str">
        <f>IF($A39="","",Feb!AJ38)</f>
        <v/>
      </c>
      <c r="D39" s="24" t="str">
        <f>IF($A39="","",Mar!AJ38)</f>
        <v/>
      </c>
      <c r="E39" s="24" t="str">
        <f>IF($A39="","",Apr!AJ38)</f>
        <v/>
      </c>
      <c r="F39" s="24" t="str">
        <f>IF($A39="","",May!AJ38)</f>
        <v/>
      </c>
      <c r="G39" s="24" t="str">
        <f>IF($A39="","",Jun!AJ38)</f>
        <v/>
      </c>
      <c r="H39" s="24" t="str">
        <f>IF($A39="","",Jul!AJ38)</f>
        <v/>
      </c>
      <c r="I39" s="24" t="str">
        <f>IF($A39="","",Aug!AJ38)</f>
        <v/>
      </c>
      <c r="J39" s="24" t="str">
        <f>IF($A39="","",Sep!AJ38)</f>
        <v/>
      </c>
      <c r="K39" s="24" t="str">
        <f>IF($A39="","",Oct!AJ38)</f>
        <v/>
      </c>
      <c r="L39" s="24" t="str">
        <f>IF($A39="","",Nov!AJ38)</f>
        <v/>
      </c>
      <c r="M39" s="24" t="str">
        <f>IF($A39="","",Dec!AJ38)</f>
        <v/>
      </c>
      <c r="N39" s="24" t="str">
        <f t="shared" si="0"/>
        <v/>
      </c>
      <c r="O39" s="25" t="str">
        <f>IF($A39="","",Jan!AL38)</f>
        <v/>
      </c>
      <c r="P39" s="25" t="str">
        <f>IF($A39="","",Feb!AL38)</f>
        <v/>
      </c>
      <c r="Q39" s="25" t="str">
        <f>IF($A39="","",Mar!AL38)</f>
        <v/>
      </c>
      <c r="R39" s="25" t="str">
        <f>IF($A39="","",Apr!AL38)</f>
        <v/>
      </c>
      <c r="S39" s="25" t="str">
        <f>IF($A39="","",May!AL38)</f>
        <v/>
      </c>
      <c r="T39" s="25" t="str">
        <f>IF($A39="","",Jun!AL38)</f>
        <v/>
      </c>
      <c r="U39" s="25" t="str">
        <f>IF($A39="","",Jul!AL38)</f>
        <v/>
      </c>
      <c r="V39" s="25" t="str">
        <f>IF($A39="","",Aug!AL38)</f>
        <v/>
      </c>
      <c r="W39" s="25" t="str">
        <f>IF($A39="","",Sep!AL38)</f>
        <v/>
      </c>
      <c r="X39" s="25" t="str">
        <f>IF($A39="","",Oct!AL38)</f>
        <v/>
      </c>
      <c r="Y39" s="25" t="str">
        <f>IF($A39="","",Nov!AL38)</f>
        <v/>
      </c>
      <c r="Z39" s="25" t="str">
        <f>IF($A39="","",Dec!AL38)</f>
        <v/>
      </c>
      <c r="AA39" s="25" t="str">
        <f t="shared" si="1"/>
        <v/>
      </c>
    </row>
    <row r="40" spans="1:27" x14ac:dyDescent="0.3">
      <c r="A40" s="21" t="str">
        <f>IF(INDEX(Workers!$C:$C,39)="","",INDEX(Workers!$C:$C,39))</f>
        <v/>
      </c>
      <c r="B40" s="24" t="str">
        <f>IF($A40="","",Jan!AJ39)</f>
        <v/>
      </c>
      <c r="C40" s="24" t="str">
        <f>IF($A40="","",Feb!AJ39)</f>
        <v/>
      </c>
      <c r="D40" s="24" t="str">
        <f>IF($A40="","",Mar!AJ39)</f>
        <v/>
      </c>
      <c r="E40" s="24" t="str">
        <f>IF($A40="","",Apr!AJ39)</f>
        <v/>
      </c>
      <c r="F40" s="24" t="str">
        <f>IF($A40="","",May!AJ39)</f>
        <v/>
      </c>
      <c r="G40" s="24" t="str">
        <f>IF($A40="","",Jun!AJ39)</f>
        <v/>
      </c>
      <c r="H40" s="24" t="str">
        <f>IF($A40="","",Jul!AJ39)</f>
        <v/>
      </c>
      <c r="I40" s="24" t="str">
        <f>IF($A40="","",Aug!AJ39)</f>
        <v/>
      </c>
      <c r="J40" s="24" t="str">
        <f>IF($A40="","",Sep!AJ39)</f>
        <v/>
      </c>
      <c r="K40" s="24" t="str">
        <f>IF($A40="","",Oct!AJ39)</f>
        <v/>
      </c>
      <c r="L40" s="24" t="str">
        <f>IF($A40="","",Nov!AJ39)</f>
        <v/>
      </c>
      <c r="M40" s="24" t="str">
        <f>IF($A40="","",Dec!AJ39)</f>
        <v/>
      </c>
      <c r="N40" s="24" t="str">
        <f t="shared" si="0"/>
        <v/>
      </c>
      <c r="O40" s="25" t="str">
        <f>IF($A40="","",Jan!AL39)</f>
        <v/>
      </c>
      <c r="P40" s="25" t="str">
        <f>IF($A40="","",Feb!AL39)</f>
        <v/>
      </c>
      <c r="Q40" s="25" t="str">
        <f>IF($A40="","",Mar!AL39)</f>
        <v/>
      </c>
      <c r="R40" s="25" t="str">
        <f>IF($A40="","",Apr!AL39)</f>
        <v/>
      </c>
      <c r="S40" s="25" t="str">
        <f>IF($A40="","",May!AL39)</f>
        <v/>
      </c>
      <c r="T40" s="25" t="str">
        <f>IF($A40="","",Jun!AL39)</f>
        <v/>
      </c>
      <c r="U40" s="25" t="str">
        <f>IF($A40="","",Jul!AL39)</f>
        <v/>
      </c>
      <c r="V40" s="25" t="str">
        <f>IF($A40="","",Aug!AL39)</f>
        <v/>
      </c>
      <c r="W40" s="25" t="str">
        <f>IF($A40="","",Sep!AL39)</f>
        <v/>
      </c>
      <c r="X40" s="25" t="str">
        <f>IF($A40="","",Oct!AL39)</f>
        <v/>
      </c>
      <c r="Y40" s="25" t="str">
        <f>IF($A40="","",Nov!AL39)</f>
        <v/>
      </c>
      <c r="Z40" s="25" t="str">
        <f>IF($A40="","",Dec!AL39)</f>
        <v/>
      </c>
      <c r="AA40" s="25" t="str">
        <f t="shared" si="1"/>
        <v/>
      </c>
    </row>
    <row r="41" spans="1:27" x14ac:dyDescent="0.3">
      <c r="A41" s="21" t="str">
        <f>IF(INDEX(Workers!$C:$C,40)="","",INDEX(Workers!$C:$C,40))</f>
        <v/>
      </c>
      <c r="B41" s="24" t="str">
        <f>IF($A41="","",Jan!AJ40)</f>
        <v/>
      </c>
      <c r="C41" s="24" t="str">
        <f>IF($A41="","",Feb!AJ40)</f>
        <v/>
      </c>
      <c r="D41" s="24" t="str">
        <f>IF($A41="","",Mar!AJ40)</f>
        <v/>
      </c>
      <c r="E41" s="24" t="str">
        <f>IF($A41="","",Apr!AJ40)</f>
        <v/>
      </c>
      <c r="F41" s="24" t="str">
        <f>IF($A41="","",May!AJ40)</f>
        <v/>
      </c>
      <c r="G41" s="24" t="str">
        <f>IF($A41="","",Jun!AJ40)</f>
        <v/>
      </c>
      <c r="H41" s="24" t="str">
        <f>IF($A41="","",Jul!AJ40)</f>
        <v/>
      </c>
      <c r="I41" s="24" t="str">
        <f>IF($A41="","",Aug!AJ40)</f>
        <v/>
      </c>
      <c r="J41" s="24" t="str">
        <f>IF($A41="","",Sep!AJ40)</f>
        <v/>
      </c>
      <c r="K41" s="24" t="str">
        <f>IF($A41="","",Oct!AJ40)</f>
        <v/>
      </c>
      <c r="L41" s="24" t="str">
        <f>IF($A41="","",Nov!AJ40)</f>
        <v/>
      </c>
      <c r="M41" s="24" t="str">
        <f>IF($A41="","",Dec!AJ40)</f>
        <v/>
      </c>
      <c r="N41" s="24" t="str">
        <f t="shared" si="0"/>
        <v/>
      </c>
      <c r="O41" s="25" t="str">
        <f>IF($A41="","",Jan!AL40)</f>
        <v/>
      </c>
      <c r="P41" s="25" t="str">
        <f>IF($A41="","",Feb!AL40)</f>
        <v/>
      </c>
      <c r="Q41" s="25" t="str">
        <f>IF($A41="","",Mar!AL40)</f>
        <v/>
      </c>
      <c r="R41" s="25" t="str">
        <f>IF($A41="","",Apr!AL40)</f>
        <v/>
      </c>
      <c r="S41" s="25" t="str">
        <f>IF($A41="","",May!AL40)</f>
        <v/>
      </c>
      <c r="T41" s="25" t="str">
        <f>IF($A41="","",Jun!AL40)</f>
        <v/>
      </c>
      <c r="U41" s="25" t="str">
        <f>IF($A41="","",Jul!AL40)</f>
        <v/>
      </c>
      <c r="V41" s="25" t="str">
        <f>IF($A41="","",Aug!AL40)</f>
        <v/>
      </c>
      <c r="W41" s="25" t="str">
        <f>IF($A41="","",Sep!AL40)</f>
        <v/>
      </c>
      <c r="X41" s="25" t="str">
        <f>IF($A41="","",Oct!AL40)</f>
        <v/>
      </c>
      <c r="Y41" s="25" t="str">
        <f>IF($A41="","",Nov!AL40)</f>
        <v/>
      </c>
      <c r="Z41" s="25" t="str">
        <f>IF($A41="","",Dec!AL40)</f>
        <v/>
      </c>
      <c r="AA41" s="25" t="str">
        <f t="shared" si="1"/>
        <v/>
      </c>
    </row>
    <row r="42" spans="1:27" x14ac:dyDescent="0.3">
      <c r="A42" s="21" t="str">
        <f>IF(INDEX(Workers!$C:$C,41)="","",INDEX(Workers!$C:$C,41))</f>
        <v/>
      </c>
      <c r="B42" s="24" t="str">
        <f>IF($A42="","",Jan!AJ41)</f>
        <v/>
      </c>
      <c r="C42" s="24" t="str">
        <f>IF($A42="","",Feb!AJ41)</f>
        <v/>
      </c>
      <c r="D42" s="24" t="str">
        <f>IF($A42="","",Mar!AJ41)</f>
        <v/>
      </c>
      <c r="E42" s="24" t="str">
        <f>IF($A42="","",Apr!AJ41)</f>
        <v/>
      </c>
      <c r="F42" s="24" t="str">
        <f>IF($A42="","",May!AJ41)</f>
        <v/>
      </c>
      <c r="G42" s="24" t="str">
        <f>IF($A42="","",Jun!AJ41)</f>
        <v/>
      </c>
      <c r="H42" s="24" t="str">
        <f>IF($A42="","",Jul!AJ41)</f>
        <v/>
      </c>
      <c r="I42" s="24" t="str">
        <f>IF($A42="","",Aug!AJ41)</f>
        <v/>
      </c>
      <c r="J42" s="24" t="str">
        <f>IF($A42="","",Sep!AJ41)</f>
        <v/>
      </c>
      <c r="K42" s="24" t="str">
        <f>IF($A42="","",Oct!AJ41)</f>
        <v/>
      </c>
      <c r="L42" s="24" t="str">
        <f>IF($A42="","",Nov!AJ41)</f>
        <v/>
      </c>
      <c r="M42" s="24" t="str">
        <f>IF($A42="","",Dec!AJ41)</f>
        <v/>
      </c>
      <c r="N42" s="24" t="str">
        <f t="shared" si="0"/>
        <v/>
      </c>
      <c r="O42" s="25" t="str">
        <f>IF($A42="","",Jan!AL41)</f>
        <v/>
      </c>
      <c r="P42" s="25" t="str">
        <f>IF($A42="","",Feb!AL41)</f>
        <v/>
      </c>
      <c r="Q42" s="25" t="str">
        <f>IF($A42="","",Mar!AL41)</f>
        <v/>
      </c>
      <c r="R42" s="25" t="str">
        <f>IF($A42="","",Apr!AL41)</f>
        <v/>
      </c>
      <c r="S42" s="25" t="str">
        <f>IF($A42="","",May!AL41)</f>
        <v/>
      </c>
      <c r="T42" s="25" t="str">
        <f>IF($A42="","",Jun!AL41)</f>
        <v/>
      </c>
      <c r="U42" s="25" t="str">
        <f>IF($A42="","",Jul!AL41)</f>
        <v/>
      </c>
      <c r="V42" s="25" t="str">
        <f>IF($A42="","",Aug!AL41)</f>
        <v/>
      </c>
      <c r="W42" s="25" t="str">
        <f>IF($A42="","",Sep!AL41)</f>
        <v/>
      </c>
      <c r="X42" s="25" t="str">
        <f>IF($A42="","",Oct!AL41)</f>
        <v/>
      </c>
      <c r="Y42" s="25" t="str">
        <f>IF($A42="","",Nov!AL41)</f>
        <v/>
      </c>
      <c r="Z42" s="25" t="str">
        <f>IF($A42="","",Dec!AL41)</f>
        <v/>
      </c>
      <c r="AA42" s="25" t="str">
        <f t="shared" si="1"/>
        <v/>
      </c>
    </row>
    <row r="43" spans="1:27" x14ac:dyDescent="0.3">
      <c r="A43" s="21" t="str">
        <f>IF(INDEX(Workers!$C:$C,42)="","",INDEX(Workers!$C:$C,42))</f>
        <v/>
      </c>
      <c r="B43" s="24" t="str">
        <f>IF($A43="","",Jan!AJ42)</f>
        <v/>
      </c>
      <c r="C43" s="24" t="str">
        <f>IF($A43="","",Feb!AJ42)</f>
        <v/>
      </c>
      <c r="D43" s="24" t="str">
        <f>IF($A43="","",Mar!AJ42)</f>
        <v/>
      </c>
      <c r="E43" s="24" t="str">
        <f>IF($A43="","",Apr!AJ42)</f>
        <v/>
      </c>
      <c r="F43" s="24" t="str">
        <f>IF($A43="","",May!AJ42)</f>
        <v/>
      </c>
      <c r="G43" s="24" t="str">
        <f>IF($A43="","",Jun!AJ42)</f>
        <v/>
      </c>
      <c r="H43" s="24" t="str">
        <f>IF($A43="","",Jul!AJ42)</f>
        <v/>
      </c>
      <c r="I43" s="24" t="str">
        <f>IF($A43="","",Aug!AJ42)</f>
        <v/>
      </c>
      <c r="J43" s="24" t="str">
        <f>IF($A43="","",Sep!AJ42)</f>
        <v/>
      </c>
      <c r="K43" s="24" t="str">
        <f>IF($A43="","",Oct!AJ42)</f>
        <v/>
      </c>
      <c r="L43" s="24" t="str">
        <f>IF($A43="","",Nov!AJ42)</f>
        <v/>
      </c>
      <c r="M43" s="24" t="str">
        <f>IF($A43="","",Dec!AJ42)</f>
        <v/>
      </c>
      <c r="N43" s="24" t="str">
        <f t="shared" si="0"/>
        <v/>
      </c>
      <c r="O43" s="25" t="str">
        <f>IF($A43="","",Jan!AL42)</f>
        <v/>
      </c>
      <c r="P43" s="25" t="str">
        <f>IF($A43="","",Feb!AL42)</f>
        <v/>
      </c>
      <c r="Q43" s="25" t="str">
        <f>IF($A43="","",Mar!AL42)</f>
        <v/>
      </c>
      <c r="R43" s="25" t="str">
        <f>IF($A43="","",Apr!AL42)</f>
        <v/>
      </c>
      <c r="S43" s="25" t="str">
        <f>IF($A43="","",May!AL42)</f>
        <v/>
      </c>
      <c r="T43" s="25" t="str">
        <f>IF($A43="","",Jun!AL42)</f>
        <v/>
      </c>
      <c r="U43" s="25" t="str">
        <f>IF($A43="","",Jul!AL42)</f>
        <v/>
      </c>
      <c r="V43" s="25" t="str">
        <f>IF($A43="","",Aug!AL42)</f>
        <v/>
      </c>
      <c r="W43" s="25" t="str">
        <f>IF($A43="","",Sep!AL42)</f>
        <v/>
      </c>
      <c r="X43" s="25" t="str">
        <f>IF($A43="","",Oct!AL42)</f>
        <v/>
      </c>
      <c r="Y43" s="25" t="str">
        <f>IF($A43="","",Nov!AL42)</f>
        <v/>
      </c>
      <c r="Z43" s="25" t="str">
        <f>IF($A43="","",Dec!AL42)</f>
        <v/>
      </c>
      <c r="AA43" s="25" t="str">
        <f t="shared" si="1"/>
        <v/>
      </c>
    </row>
    <row r="44" spans="1:27" x14ac:dyDescent="0.3">
      <c r="A44" s="21" t="str">
        <f>IF(INDEX(Workers!$C:$C,43)="","",INDEX(Workers!$C:$C,43))</f>
        <v/>
      </c>
      <c r="B44" s="24" t="str">
        <f>IF($A44="","",Jan!AJ43)</f>
        <v/>
      </c>
      <c r="C44" s="24" t="str">
        <f>IF($A44="","",Feb!AJ43)</f>
        <v/>
      </c>
      <c r="D44" s="24" t="str">
        <f>IF($A44="","",Mar!AJ43)</f>
        <v/>
      </c>
      <c r="E44" s="24" t="str">
        <f>IF($A44="","",Apr!AJ43)</f>
        <v/>
      </c>
      <c r="F44" s="24" t="str">
        <f>IF($A44="","",May!AJ43)</f>
        <v/>
      </c>
      <c r="G44" s="24" t="str">
        <f>IF($A44="","",Jun!AJ43)</f>
        <v/>
      </c>
      <c r="H44" s="24" t="str">
        <f>IF($A44="","",Jul!AJ43)</f>
        <v/>
      </c>
      <c r="I44" s="24" t="str">
        <f>IF($A44="","",Aug!AJ43)</f>
        <v/>
      </c>
      <c r="J44" s="24" t="str">
        <f>IF($A44="","",Sep!AJ43)</f>
        <v/>
      </c>
      <c r="K44" s="24" t="str">
        <f>IF($A44="","",Oct!AJ43)</f>
        <v/>
      </c>
      <c r="L44" s="24" t="str">
        <f>IF($A44="","",Nov!AJ43)</f>
        <v/>
      </c>
      <c r="M44" s="24" t="str">
        <f>IF($A44="","",Dec!AJ43)</f>
        <v/>
      </c>
      <c r="N44" s="24" t="str">
        <f t="shared" si="0"/>
        <v/>
      </c>
      <c r="O44" s="25" t="str">
        <f>IF($A44="","",Jan!AL43)</f>
        <v/>
      </c>
      <c r="P44" s="25" t="str">
        <f>IF($A44="","",Feb!AL43)</f>
        <v/>
      </c>
      <c r="Q44" s="25" t="str">
        <f>IF($A44="","",Mar!AL43)</f>
        <v/>
      </c>
      <c r="R44" s="25" t="str">
        <f>IF($A44="","",Apr!AL43)</f>
        <v/>
      </c>
      <c r="S44" s="25" t="str">
        <f>IF($A44="","",May!AL43)</f>
        <v/>
      </c>
      <c r="T44" s="25" t="str">
        <f>IF($A44="","",Jun!AL43)</f>
        <v/>
      </c>
      <c r="U44" s="25" t="str">
        <f>IF($A44="","",Jul!AL43)</f>
        <v/>
      </c>
      <c r="V44" s="25" t="str">
        <f>IF($A44="","",Aug!AL43)</f>
        <v/>
      </c>
      <c r="W44" s="25" t="str">
        <f>IF($A44="","",Sep!AL43)</f>
        <v/>
      </c>
      <c r="X44" s="25" t="str">
        <f>IF($A44="","",Oct!AL43)</f>
        <v/>
      </c>
      <c r="Y44" s="25" t="str">
        <f>IF($A44="","",Nov!AL43)</f>
        <v/>
      </c>
      <c r="Z44" s="25" t="str">
        <f>IF($A44="","",Dec!AL43)</f>
        <v/>
      </c>
      <c r="AA44" s="25" t="str">
        <f t="shared" si="1"/>
        <v/>
      </c>
    </row>
    <row r="45" spans="1:27" x14ac:dyDescent="0.3">
      <c r="A45" s="21" t="str">
        <f>IF(INDEX(Workers!$C:$C,44)="","",INDEX(Workers!$C:$C,44))</f>
        <v/>
      </c>
      <c r="B45" s="24" t="str">
        <f>IF($A45="","",Jan!AJ44)</f>
        <v/>
      </c>
      <c r="C45" s="24" t="str">
        <f>IF($A45="","",Feb!AJ44)</f>
        <v/>
      </c>
      <c r="D45" s="24" t="str">
        <f>IF($A45="","",Mar!AJ44)</f>
        <v/>
      </c>
      <c r="E45" s="24" t="str">
        <f>IF($A45="","",Apr!AJ44)</f>
        <v/>
      </c>
      <c r="F45" s="24" t="str">
        <f>IF($A45="","",May!AJ44)</f>
        <v/>
      </c>
      <c r="G45" s="24" t="str">
        <f>IF($A45="","",Jun!AJ44)</f>
        <v/>
      </c>
      <c r="H45" s="24" t="str">
        <f>IF($A45="","",Jul!AJ44)</f>
        <v/>
      </c>
      <c r="I45" s="24" t="str">
        <f>IF($A45="","",Aug!AJ44)</f>
        <v/>
      </c>
      <c r="J45" s="24" t="str">
        <f>IF($A45="","",Sep!AJ44)</f>
        <v/>
      </c>
      <c r="K45" s="24" t="str">
        <f>IF($A45="","",Oct!AJ44)</f>
        <v/>
      </c>
      <c r="L45" s="24" t="str">
        <f>IF($A45="","",Nov!AJ44)</f>
        <v/>
      </c>
      <c r="M45" s="24" t="str">
        <f>IF($A45="","",Dec!AJ44)</f>
        <v/>
      </c>
      <c r="N45" s="24" t="str">
        <f t="shared" si="0"/>
        <v/>
      </c>
      <c r="O45" s="25" t="str">
        <f>IF($A45="","",Jan!AL44)</f>
        <v/>
      </c>
      <c r="P45" s="25" t="str">
        <f>IF($A45="","",Feb!AL44)</f>
        <v/>
      </c>
      <c r="Q45" s="25" t="str">
        <f>IF($A45="","",Mar!AL44)</f>
        <v/>
      </c>
      <c r="R45" s="25" t="str">
        <f>IF($A45="","",Apr!AL44)</f>
        <v/>
      </c>
      <c r="S45" s="25" t="str">
        <f>IF($A45="","",May!AL44)</f>
        <v/>
      </c>
      <c r="T45" s="25" t="str">
        <f>IF($A45="","",Jun!AL44)</f>
        <v/>
      </c>
      <c r="U45" s="25" t="str">
        <f>IF($A45="","",Jul!AL44)</f>
        <v/>
      </c>
      <c r="V45" s="25" t="str">
        <f>IF($A45="","",Aug!AL44)</f>
        <v/>
      </c>
      <c r="W45" s="25" t="str">
        <f>IF($A45="","",Sep!AL44)</f>
        <v/>
      </c>
      <c r="X45" s="25" t="str">
        <f>IF($A45="","",Oct!AL44)</f>
        <v/>
      </c>
      <c r="Y45" s="25" t="str">
        <f>IF($A45="","",Nov!AL44)</f>
        <v/>
      </c>
      <c r="Z45" s="25" t="str">
        <f>IF($A45="","",Dec!AL44)</f>
        <v/>
      </c>
      <c r="AA45" s="25" t="str">
        <f t="shared" si="1"/>
        <v/>
      </c>
    </row>
    <row r="46" spans="1:27" x14ac:dyDescent="0.3">
      <c r="A46" s="26" t="s">
        <v>126</v>
      </c>
      <c r="B46" s="28">
        <f t="shared" ref="B46:AA46" si="2">SUM(B6:B45)</f>
        <v>0</v>
      </c>
      <c r="C46" s="28">
        <f t="shared" si="2"/>
        <v>0</v>
      </c>
      <c r="D46" s="28">
        <f t="shared" si="2"/>
        <v>0</v>
      </c>
      <c r="E46" s="28">
        <f t="shared" si="2"/>
        <v>0</v>
      </c>
      <c r="F46" s="28">
        <f t="shared" si="2"/>
        <v>0</v>
      </c>
      <c r="G46" s="28">
        <f t="shared" si="2"/>
        <v>0</v>
      </c>
      <c r="H46" s="28">
        <f t="shared" si="2"/>
        <v>0</v>
      </c>
      <c r="I46" s="28">
        <f t="shared" si="2"/>
        <v>0</v>
      </c>
      <c r="J46" s="28">
        <f t="shared" si="2"/>
        <v>0</v>
      </c>
      <c r="K46" s="28">
        <f t="shared" si="2"/>
        <v>0</v>
      </c>
      <c r="L46" s="28">
        <f t="shared" si="2"/>
        <v>0</v>
      </c>
      <c r="M46" s="28">
        <f t="shared" si="2"/>
        <v>0</v>
      </c>
      <c r="N46" s="28">
        <f t="shared" si="2"/>
        <v>0</v>
      </c>
      <c r="O46" s="29">
        <f t="shared" si="2"/>
        <v>0</v>
      </c>
      <c r="P46" s="29">
        <f t="shared" si="2"/>
        <v>0</v>
      </c>
      <c r="Q46" s="29">
        <f t="shared" si="2"/>
        <v>0</v>
      </c>
      <c r="R46" s="29">
        <f t="shared" si="2"/>
        <v>0</v>
      </c>
      <c r="S46" s="29">
        <f t="shared" si="2"/>
        <v>0</v>
      </c>
      <c r="T46" s="29">
        <f t="shared" si="2"/>
        <v>0</v>
      </c>
      <c r="U46" s="29">
        <f t="shared" si="2"/>
        <v>0</v>
      </c>
      <c r="V46" s="29">
        <f t="shared" si="2"/>
        <v>0</v>
      </c>
      <c r="W46" s="29">
        <f t="shared" si="2"/>
        <v>0</v>
      </c>
      <c r="X46" s="29">
        <f t="shared" si="2"/>
        <v>0</v>
      </c>
      <c r="Y46" s="29">
        <f t="shared" si="2"/>
        <v>0</v>
      </c>
      <c r="Z46" s="29">
        <f t="shared" si="2"/>
        <v>0</v>
      </c>
      <c r="AA46" s="29">
        <f t="shared" si="2"/>
        <v>0</v>
      </c>
    </row>
  </sheetData>
  <printOptions horizontalCentered="1"/>
  <pageMargins left="0.45" right="0.45" top="0.6" bottom="0.6" header="0.3" footer="0.3"/>
  <pageSetup paperSize="9" scale="54" orientation="landscape" r:id="rId1"/>
  <headerFooter>
    <oddFooter>&amp;L&amp;8Free from NirmanDost - nirmandost.in - sign up for more free tools&amp;R&amp;8Page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14</vt:i4>
      </vt:variant>
    </vt:vector>
  </HeadingPairs>
  <TitlesOfParts>
    <vt:vector size="31" baseType="lpstr">
      <vt:lpstr>About</vt:lpstr>
      <vt:lpstr>Setup</vt:lpstr>
      <vt:lpstr>Workers</vt:lpstr>
      <vt:lpstr>Jan</vt:lpstr>
      <vt:lpstr>Feb</vt:lpstr>
      <vt:lpstr>Mar</vt:lpstr>
      <vt:lpstr>Apr</vt:lpstr>
      <vt:lpstr>May</vt:lpstr>
      <vt:lpstr>Jun</vt:lpstr>
      <vt:lpstr>Jul</vt:lpstr>
      <vt:lpstr>Aug</vt:lpstr>
      <vt:lpstr>Sep</vt:lpstr>
      <vt:lpstr>Oct</vt:lpstr>
      <vt:lpstr>Nov</vt:lpstr>
      <vt:lpstr>Dec</vt:lpstr>
      <vt:lpstr>Payments</vt:lpstr>
      <vt:lpstr>Year summary</vt:lpstr>
      <vt:lpstr>Apr!Print_Titles</vt:lpstr>
      <vt:lpstr>Aug!Print_Titles</vt:lpstr>
      <vt:lpstr>Dec!Print_Titles</vt:lpstr>
      <vt:lpstr>Feb!Print_Titles</vt:lpstr>
      <vt:lpstr>Jan!Print_Titles</vt:lpstr>
      <vt:lpstr>Jul!Print_Titles</vt:lpstr>
      <vt:lpstr>Jun!Print_Titles</vt:lpstr>
      <vt:lpstr>Mar!Print_Titles</vt:lpstr>
      <vt:lpstr>May!Print_Titles</vt:lpstr>
      <vt:lpstr>Nov!Print_Titles</vt:lpstr>
      <vt:lpstr>Oct!Print_Titles</vt:lpstr>
      <vt:lpstr>Payments!Print_Titles</vt:lpstr>
      <vt:lpstr>Sep!Print_Titles</vt:lpstr>
      <vt:lpstr>Workers!Print_Titles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Shivam Dave</cp:lastModifiedBy>
  <cp:lastPrinted>2026-10-10T07:36:03Z</cp:lastPrinted>
  <dcterms:created xsi:type="dcterms:W3CDTF">2026-10-10T07:34:30Z</dcterms:created>
  <dcterms:modified xsi:type="dcterms:W3CDTF">2026-10-10T07:36:05Z</dcterms:modified>
</cp:coreProperties>
</file>