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7197E912-9559-4540-AE68-7696785CEAAC}" xr6:coauthVersionLast="47" xr6:coauthVersionMax="47" xr10:uidLastSave="{00000000-0000-0000-0000-000000000000}"/>
  <bookViews>
    <workbookView xWindow="29040" yWindow="150" windowWidth="23010" windowHeight="12210" xr2:uid="{00000000-000D-0000-FFFF-FFFF00000000}"/>
  </bookViews>
  <sheets>
    <sheet name="About" sheetId="1" r:id="rId1"/>
    <sheet name="Schedule" sheetId="2" r:id="rId2"/>
    <sheet name="Setup" sheetId="3" r:id="rId3"/>
    <sheet name="Lists" sheetId="4" r:id="rId4"/>
  </sheets>
  <definedNames>
    <definedName name="_xlnm.Print_Titles" localSheetId="1">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9" i="2" l="1"/>
  <c r="J44" i="2"/>
  <c r="H44" i="2"/>
  <c r="G44" i="2"/>
  <c r="A44" i="2"/>
  <c r="J43" i="2"/>
  <c r="H43" i="2"/>
  <c r="G43" i="2"/>
  <c r="A43" i="2"/>
  <c r="J42" i="2"/>
  <c r="H42" i="2"/>
  <c r="G42" i="2"/>
  <c r="A42" i="2"/>
  <c r="J41" i="2"/>
  <c r="H41" i="2"/>
  <c r="G41" i="2"/>
  <c r="A41" i="2"/>
  <c r="J40" i="2"/>
  <c r="H40" i="2"/>
  <c r="G40" i="2"/>
  <c r="A40" i="2"/>
  <c r="J39" i="2"/>
  <c r="H39" i="2"/>
  <c r="G39" i="2"/>
  <c r="A39" i="2"/>
  <c r="J38" i="2"/>
  <c r="H38" i="2"/>
  <c r="G38" i="2"/>
  <c r="A38" i="2"/>
  <c r="J37" i="2"/>
  <c r="H37" i="2"/>
  <c r="G37" i="2"/>
  <c r="A37" i="2"/>
  <c r="J36" i="2"/>
  <c r="H36" i="2"/>
  <c r="G36" i="2"/>
  <c r="A36" i="2"/>
  <c r="J35" i="2"/>
  <c r="H35" i="2"/>
  <c r="G35" i="2"/>
  <c r="A35" i="2"/>
  <c r="J34" i="2"/>
  <c r="H34" i="2"/>
  <c r="G34" i="2"/>
  <c r="A34" i="2"/>
  <c r="J33" i="2"/>
  <c r="H33" i="2"/>
  <c r="G33" i="2"/>
  <c r="A33" i="2"/>
  <c r="J32" i="2"/>
  <c r="H32" i="2"/>
  <c r="G32" i="2"/>
  <c r="A32" i="2"/>
  <c r="J31" i="2"/>
  <c r="H31" i="2"/>
  <c r="G31" i="2"/>
  <c r="A31" i="2"/>
  <c r="A30" i="2"/>
  <c r="A29" i="2"/>
  <c r="A28" i="2"/>
  <c r="A27" i="2"/>
  <c r="A26" i="2"/>
  <c r="A25" i="2"/>
  <c r="A24" i="2"/>
  <c r="A23" i="2"/>
  <c r="A22" i="2"/>
  <c r="A21" i="2"/>
  <c r="A20" i="2"/>
  <c r="A19" i="2"/>
  <c r="A18" i="2"/>
  <c r="A17" i="2"/>
  <c r="A16" i="2"/>
  <c r="A15" i="2"/>
  <c r="A14" i="2"/>
  <c r="A13" i="2"/>
  <c r="A12" i="2"/>
  <c r="A11" i="2"/>
  <c r="A10" i="2"/>
  <c r="A9" i="2"/>
  <c r="A8" i="2"/>
  <c r="A7" i="2"/>
  <c r="A6" i="2"/>
  <c r="G5" i="2"/>
  <c r="H5" i="2" s="1"/>
  <c r="A5" i="2"/>
  <c r="BB4" i="2"/>
  <c r="BA4" i="2"/>
  <c r="AZ4" i="2"/>
  <c r="AY4" i="2"/>
  <c r="AX4" i="2"/>
  <c r="AW4" i="2"/>
  <c r="AV4" i="2"/>
  <c r="AU4" i="2"/>
  <c r="AT4" i="2"/>
  <c r="AS4" i="2"/>
  <c r="AR4" i="2"/>
  <c r="AQ4" i="2"/>
  <c r="AP4" i="2"/>
  <c r="AO4" i="2"/>
  <c r="AN4" i="2"/>
  <c r="AM4" i="2"/>
  <c r="AL4" i="2"/>
  <c r="AK4" i="2"/>
  <c r="AJ4" i="2"/>
  <c r="AI4" i="2"/>
  <c r="AH4" i="2"/>
  <c r="AG4" i="2"/>
  <c r="AF4" i="2"/>
  <c r="AE4" i="2"/>
  <c r="AD4" i="2"/>
  <c r="AC4" i="2"/>
  <c r="AB4" i="2"/>
  <c r="AA4" i="2"/>
  <c r="Z4" i="2"/>
  <c r="Y4" i="2"/>
  <c r="X4" i="2"/>
  <c r="W4" i="2"/>
  <c r="V4" i="2"/>
  <c r="U4" i="2"/>
  <c r="T4" i="2"/>
  <c r="S4" i="2"/>
  <c r="R4" i="2"/>
  <c r="Q4" i="2"/>
  <c r="P4" i="2"/>
  <c r="O4" i="2"/>
  <c r="N4" i="2"/>
  <c r="M4" i="2"/>
  <c r="L4" i="2"/>
  <c r="K4" i="2"/>
  <c r="A1" i="2"/>
  <c r="G6" i="2" l="1"/>
  <c r="H6" i="2" s="1"/>
  <c r="J5" i="2"/>
  <c r="J6" i="2" l="1"/>
  <c r="G7" i="2"/>
  <c r="H7" i="2" s="1"/>
  <c r="G8" i="2" l="1"/>
  <c r="H8" i="2" s="1"/>
  <c r="J7" i="2"/>
  <c r="G9" i="2" l="1"/>
  <c r="H9" i="2" s="1"/>
  <c r="J8" i="2"/>
  <c r="J9" i="2" l="1"/>
  <c r="G10" i="2"/>
  <c r="H10" i="2" s="1"/>
  <c r="G11" i="2" l="1"/>
  <c r="H11" i="2" s="1"/>
  <c r="J10" i="2"/>
  <c r="G12" i="2" l="1"/>
  <c r="H12" i="2" s="1"/>
  <c r="J11" i="2"/>
  <c r="J12" i="2" l="1"/>
  <c r="G13" i="2"/>
  <c r="H13" i="2" s="1"/>
  <c r="J13" i="2" l="1"/>
  <c r="G14" i="2"/>
  <c r="H14" i="2" s="1"/>
  <c r="G18" i="2" l="1"/>
  <c r="H18" i="2" s="1"/>
  <c r="J18" i="2" s="1"/>
  <c r="G15" i="2"/>
  <c r="H15" i="2" s="1"/>
  <c r="J14" i="2"/>
  <c r="J15" i="2" l="1"/>
  <c r="G16" i="2"/>
  <c r="H16" i="2" s="1"/>
  <c r="G17" i="2" l="1"/>
  <c r="H17" i="2" s="1"/>
  <c r="J16" i="2"/>
  <c r="J17" i="2" l="1"/>
  <c r="G22" i="2"/>
  <c r="H22" i="2" s="1"/>
  <c r="J22" i="2" s="1"/>
  <c r="G19" i="2"/>
  <c r="H19" i="2" s="1"/>
  <c r="G21" i="2" l="1"/>
  <c r="H21" i="2" s="1"/>
  <c r="G20" i="2"/>
  <c r="H20" i="2" s="1"/>
  <c r="J20" i="2" s="1"/>
  <c r="J19" i="2"/>
  <c r="J21" i="2" l="1"/>
  <c r="G23" i="2"/>
  <c r="H23" i="2" s="1"/>
  <c r="G24" i="2" l="1"/>
  <c r="H24" i="2" s="1"/>
  <c r="J24" i="2" s="1"/>
  <c r="J23" i="2"/>
  <c r="G25" i="2"/>
  <c r="H25" i="2" s="1"/>
  <c r="J25" i="2" l="1"/>
  <c r="G26" i="2"/>
  <c r="H26" i="2" s="1"/>
  <c r="G27" i="2" l="1"/>
  <c r="H27" i="2" s="1"/>
  <c r="J26" i="2"/>
  <c r="J27" i="2" l="1"/>
  <c r="G28" i="2"/>
  <c r="H28" i="2" s="1"/>
  <c r="G29" i="2" l="1"/>
  <c r="H29" i="2" s="1"/>
  <c r="J28" i="2"/>
  <c r="G30" i="2" l="1"/>
  <c r="H30" i="2" s="1"/>
  <c r="J29" i="2"/>
  <c r="J30" i="2" l="1"/>
  <c r="G48" i="2" s="1"/>
  <c r="G46" i="2"/>
  <c r="G47" i="2" s="1"/>
</calcChain>
</file>

<file path=xl/sharedStrings.xml><?xml version="1.0" encoding="utf-8"?>
<sst xmlns="http://schemas.openxmlformats.org/spreadsheetml/2006/main" count="107" uniqueCount="81">
  <si>
    <t>House construction Gantt chart
घर बांधकामाचा गँट चार्ट</t>
  </si>
  <si>
    <t>NirmanDost - free tools for people who build. v1 - 10 October 2026
NirmanDost - जे लोक बांधकाम करतात त्यांच्यासाठी मोफत साधने. v1 - 10 ऑक्टोबर 2026</t>
  </si>
  <si>
    <t>What this is
हे काय आहे</t>
  </si>
  <si>
    <t>Every stage of a house on one page: when it starts, how long it takes, what it waits for, and how far along it is. Change a date or a duration and every later bar moves by itself.
एका पानावर घराचा प्रत्येक टप्पा: ते कधी सुरू होते, त्याला किती वेळ लागतो, ते कशाची वाट पाहते आणि ते किती पुढे सरकले आहे. तारीख किंवा कालावधी बदला आणि त्यानंतरचा प्रत्येक बार आपोआप सरकतो.</t>
  </si>
  <si>
    <t>How to use it
ते कसे वापरायचे</t>
  </si>
  <si>
    <t>1. Setup: type your project start date and site name.
1. मांडणी: तुमच्या प्रकल्पाची प्रारंभ तारीख आणि साइटचे नाव लिहा.</t>
  </si>
  <si>
    <t>2. Schedule: each row is a stage. Type the days it takes and the row it waits for (the 'After #' column). Leave 'After #' empty for a stage that starts on the project start date. Add a 'Lag' for waiting days such as curing.
2. वेळापत्रक: प्रत्येक ओळ एक टप्पा आहे. लागणारे दिवस आणि ती ओळ ('आफ्टर #' स्तंभ) लिहा. प्रकल्पाच्या सुरुवातीच्या तारखेला सुरू होणाऱ्या टप्प्यासाठी 'आफ्टर #' रिकामा सोडा. क्युरिंगसारख्या प्रतीक्षेच्या दिवसांसाठी 'लॅग' जोडा.</t>
  </si>
  <si>
    <t>3. Type % done as the work moves. The bar fills darker for the finished part; the status turns red when a stage is past its end date and not done.
3. काम जसजसे पुढे सरकते तसतसे पूर्ण झालेले % टाइप करा. पूर्ण झालेल्या भागासाठी बार गडद रंगाचा भरतो; जेव्हा एखादा टप्पा त्याच्या अंतिम तारखेला पोहोचतो आणि पूर्ण होत नाही तेव्हा स्थिती लाल होते.</t>
  </si>
  <si>
    <t>4. Replace the EXAMPLE durations. They show how a ground-plus-one house might run; your engineer, contractor and weather decide the real ones.
4. उदाहरणातील कालावधी बदला. ते दर्शवतात की भू-प्लस-वन घर कसे चालू शकते; तुमचे अभियंता, कंत्राटदार आणि हवामान वास्तविक गोष्टी ठरवतात.</t>
  </si>
  <si>
    <t>5. Print: landscape A4. The weeks run across the top from your start date.
5. छापाई: लँडस्केप ए4. आठवडे तुमच्या सुरुवातीच्या तारखेपासून वरच्या बाजूला धावतात.</t>
  </si>
  <si>
    <t>Sheets in this file
या फाईलमधील शीट्स</t>
  </si>
  <si>
    <t>Setup: start date, site name, working note
सेटअप: कामाची सुरुवात तारीख, ठिकाणाचे नाव, कामाची नोंद</t>
  </si>
  <si>
    <t>Schedule: stages, dependencies, days, % done, status, and the weekly bars
वेळापत्रक: टप्पे, अवलंबित्व, दिवस, पूर्ण झालेले %, स्थिती आणि साप्ताहिक बार.</t>
  </si>
  <si>
    <t>Lists: phases and status words used by the drop-downs
याद्या: ड्रॉप-डाउनद्वारे वापरले जाणारे टप्पे आणि स्थिती शब्द</t>
  </si>
  <si>
    <t>Legend
या शीटमधील रंगांचा अर्थ.</t>
  </si>
  <si>
    <t>Sand-coloured cells are yours to type in. Everything else works out by itself. Do not type over a formula.
हलक्या तपकिरी रंगाचे बॉक्स तुम्ही टाइप करण्यासाठी आहेत. बाकी सर्व आपोआप मोजले जाईल. फॉर्म्युलावर पुन्हा टाइप करू नका.</t>
  </si>
  <si>
    <t>Sources
स्त्रोत</t>
  </si>
  <si>
    <t>Stage order follows NirmanDost free guide 4, Footing to finish. Curing and formwork-removal periods are set by IS 456:2000 cl. 11.3 and 13.5 and your engineer's release; the example days are not a standard.
स्टेज ऑर्डर NirmanDost मोफत मार्गदर्शिका 4 नुसार आहे, शेवट करण्यासाठी फूटिंग. क्युरिंग आणि फॉर्मवर्क काढण्याची मुदत IS 456:2000 cl. 11.3 आणि 13.5 आणि तुमच्या अभियंत्याच्या परवानगीने निश्चित केली जाते; उदाहरणाचे दिवस हे मानक नाहीत.</t>
  </si>
  <si>
    <t>Free, and more
मोफत, आणि अधिक</t>
  </si>
  <si>
    <t>This file is free. Sign up at nirmandost.in (phone number, one-time code) for the rest of the set, the BOQ calculator and the Site Planner.
ही फाईल विनामूल्य आहे. उर्वरित संच, BOQ कॅल्क्युलेटर आणि साइट प्लॅनरसाठी nirmandost.in वर साइन अप करा (फोन नंबर, वन-टाइम कोड).</t>
  </si>
  <si>
    <t>Made by NirmanDost, Ahmedabad. It is a working tool, not professional advice: your engineer, your accountant and your contract decide. Report a problem at nirmandost.in.
NirmanDost द्वारे बनवलेले, अहमदाबाद. हे एक काम करणारे साधन आहे, व्यावसायिक सल्ला नाही: तुमचे अभियंता, तुमचे अकाउंटंट आणि तुमचा करार ठरवतात. nirmandost.in वर समस्या नोंदवा.</t>
  </si>
  <si>
    <t>EXAMPLE durations for a ground-plus-one house. Replace every number with your own. Sand cells are yours to type in.
ग्राउंड-प्लस-वन घरासाठी उदाहरणाचे अवधी. प्रत्येक संख्या तुमच्या स्वतःच्या नंबरने बदला. सँड सेल्स तुम्ही टाइप करू शकता.</t>
  </si>
  <si>
    <t>#</t>
  </si>
  <si>
    <t>Phase
टप्पा</t>
  </si>
  <si>
    <t>Stage
बांधकाम टप्पा</t>
  </si>
  <si>
    <t>After #
ओळीच्या नंबरनंतर सुरू होते</t>
  </si>
  <si>
    <t>Lag
सुरू करण्यापूर्वी प्रतीक्षा करण्यासाठी अतिरिक्त दिवस</t>
  </si>
  <si>
    <t>Days
दिवस</t>
  </si>
  <si>
    <t>Start
सुरुवात तारीख</t>
  </si>
  <si>
    <t>End
समाप्तीची तारीख</t>
  </si>
  <si>
    <t>% done
% पूर्ण झाले</t>
  </si>
  <si>
    <t>Status
स्थिती</t>
  </si>
  <si>
    <t>Before site / साइटवर काम सुरू होण्यापूर्वी</t>
  </si>
  <si>
    <t>Soil investigation and report
माती परीक्षण आणि अहवाल</t>
  </si>
  <si>
    <t>Drawings, structural design and approvals
रेखाचित्रे, स्ट्रक्चरल डिझाइन आणि मंजुरी</t>
  </si>
  <si>
    <t>Contract signed, team and materials planned
करार झाला, टीम आणि साहित्य नियोजित आहे.</t>
  </si>
  <si>
    <t>Substructure / उपसंरचना</t>
  </si>
  <si>
    <t>Setting out and excavation
सुरुवात आणि उत्खनन</t>
  </si>
  <si>
    <t>PCC and footings
PCC आणि पाया</t>
  </si>
  <si>
    <t>Columns to plinth, plinth beam
प्लिंथ स्तरापर्यंत स्तंभ, नंतर प्लिंथ बीम</t>
  </si>
  <si>
    <t>Anti-termite treatment and DPC
वाळवी प्रतिबंधक उपचार आणि डीपीसी</t>
  </si>
  <si>
    <t>Frame / फ्रेम</t>
  </si>
  <si>
    <t>Ground floor columns
तळमजला खांब</t>
  </si>
  <si>
    <t>First floor slab and beams (shuttering, steel, pour)
पहिला मजला स्लॅब आणि बीम (शटरिंग, स्टील, ओतणे)</t>
  </si>
  <si>
    <t>Curing and formwork removal (as engineer releases)
क्युरींग आणि फॉर्मवर्क काढणे (अभियंत्याने सोडल्याप्रमाणे)</t>
  </si>
  <si>
    <t>First floor columns
पहिला मजला स्तंभ</t>
  </si>
  <si>
    <t>Roof slab and beams
छताचा स्लॅब आणि बीम</t>
  </si>
  <si>
    <t>Roof slab curing and props removal
छतावरील स्लॅब क्युरिंग आणि प्रॉप्स काढणे</t>
  </si>
  <si>
    <t>Walls / भिंती</t>
  </si>
  <si>
    <t>Brickwork ground floor, lintels
विटांचे बांधकाम तळमजला, लिंटेल</t>
  </si>
  <si>
    <t>Brickwork first floor, lintels
पहिला मजला विटांची बांधणी, लिंटेल</t>
  </si>
  <si>
    <t>Services / इलेक्ट्रिकल आणि प्लंबिंगचे काम</t>
  </si>
  <si>
    <t>Electrical conduits and boxes
इलेक्ट्रिकल नळ्या आणि बॉक्स</t>
  </si>
  <si>
    <t>Plumbing lines and pressure test
प्लंबिंग लाईन्स आणि प्रेशर टेस्ट</t>
  </si>
  <si>
    <t>Finishes / अंतिम टप्पा: प्लास्टर, फरशी आणि रंगकाम</t>
  </si>
  <si>
    <t>Roof waterproofing
छताचे जलरोधक</t>
  </si>
  <si>
    <t>Internal plaster
अंतर्गत प्लास्टर</t>
  </si>
  <si>
    <t>External plaster
बाह्य प्लास्टर</t>
  </si>
  <si>
    <t>Flooring and wall tiles
फर्शी आणि भिंतीवरील फरशा</t>
  </si>
  <si>
    <t>Doors, windows and grills
दरवाजे, खिडक्या आणि ग्रील्स</t>
  </si>
  <si>
    <t>Painting / भिंती आणि छतांवर रंग लावणे</t>
  </si>
  <si>
    <t>Electrical fittings, sanitary fittings
इलेक्ट्रिकल फिटिंग्ज, सॅनिटरी फिटिंग्ज</t>
  </si>
  <si>
    <t>Handover / हस्तांतरण</t>
  </si>
  <si>
    <t>Snag list, cleaning, handover documents
अडचणीची यादी, स्वच्छता, कागदपत्रे हस्तांतरण</t>
  </si>
  <si>
    <t>Completion and occupancy certificate
पूर्णता आणि भोगवटा प्रमाणपत्र</t>
  </si>
  <si>
    <t>Project finishes on
प्रकल्प पूर्ण होण्याची अंतिम तारीख</t>
  </si>
  <si>
    <t>Legend: rust = planned, green = done, red = late, sand column = this week. A stage waits for the row number in 'After #'.
रंगांचा अर्थ: नारंगी-तपकिरी म्हणजे नियोजित, हिरवा म्हणजे पूर्ण झाले, लाल म्हणजे उशीर, आणि फिकट तपकिरी रंगाचा स्तंभ या आठवड्यात आहे. प्रत्येक बांधकाम टप्पा 'नंतर #' स्तंभात टाइप केलेल्या ओळीच्या क्रमांकाची वाट पाहतो.</t>
  </si>
  <si>
    <t>Total duration (days)
एकूण कालावधी (दिवस)</t>
  </si>
  <si>
    <t>Stages late today
आज किती टप्पे वेळेनुसार पूर्ण झालेले नाहीत?</t>
  </si>
  <si>
    <t>Overall progress (by days)
एकूण प्रगती (दिवसांनुसार)</t>
  </si>
  <si>
    <t>Setup
सेटअप</t>
  </si>
  <si>
    <t>Two inputs. Everything else reads from here.
दोन इनपुट. बाकी सर्व काही इथून वाचले जाते.</t>
  </si>
  <si>
    <t>Project start date
प्रकल्प सुरू होण्याची तारीख</t>
  </si>
  <si>
    <t>Site / project
साइट / प्रकल्प</t>
  </si>
  <si>
    <t>Type the site name
साइटचे नाव लिहा.</t>
  </si>
  <si>
    <t>Durations on the Schedule sheet are calendar days. Sundays and holidays are not skipped; add them as lag if your site stops.
शेड्यूल शीटवरील कालावधी हे कॅलेंडर दिवस आहेत. रविवार आणि सुट्ट्या वगळल्या जात नाहीत; तुमची साइट थांबल्यास त्या लॅग म्हणून जोडा.</t>
  </si>
  <si>
    <t>Lists
याद्या</t>
  </si>
  <si>
    <t>Not started</t>
  </si>
  <si>
    <t>In progress</t>
  </si>
  <si>
    <t>Waiting</t>
  </si>
  <si>
    <t>Done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</si>
</sst>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dd\-mm\-yyyy"/>
    <numFmt numFmtId="166" formatCode="dd\ mmm"/>
  </numFmts>
  <fonts count="14"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sz val="9"/>
      <color rgb="FF6B5D52"/>
      <name val="Arial"/>
    </font>
    <font>
      <i/>
      <sz val="9"/>
      <color rgb="FF6B5D52"/>
      <name val="Arial"/>
    </font>
    <font>
      <b/>
      <sz val="16"/>
      <color rgb="FFC0480C"/>
      <name val="Arial"/>
    </font>
    <font>
      <b/>
      <sz val="14"/>
      <color rgb="FFC0480C"/>
      <name val="Arial"/>
    </font>
    <font>
      <i/>
      <sz val="9"/>
      <color rgb="FFC0480C"/>
      <name val="Arial"/>
    </font>
    <font>
      <b/>
      <sz val="10"/>
      <color rgb="FFFFFFFF"/>
      <name val="Arial"/>
    </font>
    <font>
      <b/>
      <sz val="7"/>
      <color rgb="FFFFFFFF"/>
      <name val="Arial"/>
    </font>
    <font>
      <b/>
      <sz val="11"/>
      <color rgb="FFC0480C"/>
      <name val="Arial"/>
    </font>
    <font>
      <b/>
      <sz val="11"/>
      <color rgb="FFB00020"/>
      <name val="Arial"/>
    </font>
  </fonts>
  <fills count="4">
    <fill>
      <patternFill patternType="none"/>
    </fill>
    <fill>
      <patternFill patternType="gray125"/>
    </fill>
    <fill>
      <patternFill patternType="solid">
        <fgColor rgb="FFEADFCE"/>
      </patternFill>
    </fill>
    <fill>
      <patternFill patternType="solid">
        <fgColor rgb="FFC0480C"/>
      </patternFill>
    </fill>
  </fills>
  <borders count="2">
    <border>
      <left/>
      <right/>
      <top/>
      <bottom/>
      <diagonal/>
    </border>
    <border>
      <left style="thin">
        <color rgb="FFD9CBB8"/>
      </left>
      <right style="thin">
        <color rgb="FFD9CBB8"/>
      </right>
      <top style="thin">
        <color rgb="FFD9CBB8"/>
      </top>
      <bottom style="thin">
        <color rgb="FFD9CBB8"/>
      </bottom>
      <diagonal/>
    </border>
  </borders>
  <cellStyleXfs count="1">
    <xf numFmtId="0" fontId="0" fillId="0" borderId="0"/>
  </cellStyleXfs>
  <cellXfs count="2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5" fillId="0" borderId="0" xfId="0" applyFont="1" applyAlignment="1">
      <alignment vertical="top" wrapText="1"/>
    </xf>
    <xf numFmtId="0" fontId="8" fillId="0" borderId="0" xfId="0" applyFont="1"/>
    <xf numFmtId="0" fontId="10" fillId="3" borderId="1" xfId="0" applyFont="1" applyFill="1" applyBorder="1" applyAlignment="1">
      <alignment horizontal="center" vertical="center" wrapText="1"/>
    </xf>
    <xf numFmtId="166" fontId="11" fillId="3" borderId="0" xfId="0" applyNumberFormat="1" applyFont="1" applyFill="1" applyAlignment="1">
      <alignment horizontal="center" vertical="center" textRotation="90"/>
    </xf>
    <xf numFmtId="0" fontId="4" fillId="0" borderId="1" xfId="0" applyFont="1" applyBorder="1" applyAlignment="1">
      <alignment horizontal="center"/>
    </xf>
    <xf numFmtId="0" fontId="4" fillId="2" borderId="1" xfId="0" applyFont="1" applyFill="1" applyBorder="1"/>
    <xf numFmtId="165" fontId="4" fillId="0" borderId="1" xfId="0" applyNumberFormat="1" applyFont="1" applyBorder="1"/>
    <xf numFmtId="9" fontId="4" fillId="2" borderId="1" xfId="0" applyNumberFormat="1" applyFont="1" applyFill="1" applyBorder="1"/>
    <xf numFmtId="0" fontId="4" fillId="0" borderId="1" xfId="0" applyFont="1" applyBorder="1"/>
    <xf numFmtId="165" fontId="12" fillId="0" borderId="0" xfId="0" applyNumberFormat="1" applyFont="1"/>
    <xf numFmtId="0" fontId="13" fillId="0" borderId="0" xfId="0" applyFont="1"/>
    <xf numFmtId="9" fontId="0" fillId="0" borderId="0" xfId="0" applyNumberFormat="1"/>
    <xf numFmtId="0" fontId="7" fillId="0" borderId="0" xfId="0" applyFont="1" applyAlignment="1">
      <alignment vertical="top" wrapText="1"/>
    </xf>
    <xf numFmtId="165" fontId="4" fillId="2" borderId="1" xfId="0" applyNumberFormat="1" applyFont="1" applyFill="1" applyBorder="1"/>
    <xf numFmtId="0" fontId="6" fillId="0" borderId="0" xfId="0" applyFont="1" applyAlignment="1">
      <alignment vertical="top" wrapText="1"/>
    </xf>
    <xf numFmtId="0" fontId="9" fillId="0" borderId="0" xfId="0" applyFont="1" applyAlignment="1">
      <alignment vertical="top" wrapText="1"/>
    </xf>
    <xf numFmtId="0" fontId="0" fillId="0" borderId="0" xfId="0"/>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6">
    <dxf>
      <fill>
        <patternFill patternType="solid">
          <fgColor rgb="FFF6E3C8"/>
          <bgColor rgb="FFF6E3C8"/>
        </patternFill>
      </fill>
    </dxf>
    <dxf>
      <fill>
        <patternFill patternType="solid">
          <fgColor rgb="FFC0480C"/>
          <bgColor rgb="FFC0480C"/>
        </patternFill>
      </fill>
    </dxf>
    <dxf>
      <fill>
        <patternFill patternType="solid">
          <fgColor rgb="FFE06A5A"/>
          <bgColor rgb="FFE06A5A"/>
        </patternFill>
      </fill>
    </dxf>
    <dxf>
      <fill>
        <patternFill patternType="solid">
          <fgColor rgb="FF2F6F5E"/>
          <bgColor rgb="FF2F6F5E"/>
        </patternFill>
      </fill>
    </dxf>
    <dxf>
      <font>
        <b/>
        <color rgb="FF2F6F5E"/>
        <name val="Arial"/>
      </font>
    </dxf>
    <dxf>
      <font>
        <b/>
        <color rgb="FFB00020"/>
        <name val="Arial"/>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09.05" customHeight="1" x14ac:dyDescent="0.3">
      <c r="B7" s="3" t="s">
        <v>2</v>
      </c>
      <c r="C7" s="4" t="s">
        <v>3</v>
      </c>
    </row>
    <row r="9" spans="2:3" ht="49.05" customHeight="1" x14ac:dyDescent="0.3">
      <c r="B9" s="3" t="s">
        <v>4</v>
      </c>
      <c r="C9" s="4" t="s">
        <v>5</v>
      </c>
    </row>
    <row r="10" spans="2:3" ht="124.05" customHeight="1" x14ac:dyDescent="0.3">
      <c r="C10" s="4" t="s">
        <v>6</v>
      </c>
    </row>
    <row r="11" spans="2:3" ht="109.05" customHeight="1" x14ac:dyDescent="0.3">
      <c r="C11" s="4" t="s">
        <v>7</v>
      </c>
    </row>
    <row r="12" spans="2:3" ht="94.05" customHeight="1" x14ac:dyDescent="0.3">
      <c r="C12" s="4" t="s">
        <v>8</v>
      </c>
    </row>
    <row r="13" spans="2:3" ht="64.05" customHeight="1" x14ac:dyDescent="0.3">
      <c r="C13" s="4" t="s">
        <v>9</v>
      </c>
    </row>
    <row r="15" spans="2:3" ht="34.049999999999997" customHeight="1" x14ac:dyDescent="0.3">
      <c r="B15" s="3" t="s">
        <v>10</v>
      </c>
      <c r="C15" s="4" t="s">
        <v>11</v>
      </c>
    </row>
    <row r="16" spans="2:3" ht="64.05" customHeight="1" x14ac:dyDescent="0.3">
      <c r="B16" s="5"/>
      <c r="C16" s="4" t="s">
        <v>12</v>
      </c>
    </row>
    <row r="17" spans="2:3" ht="34.049999999999997" customHeight="1" x14ac:dyDescent="0.3">
      <c r="B17" s="5"/>
      <c r="C17" s="4" t="s">
        <v>13</v>
      </c>
    </row>
    <row r="19" spans="2:3" ht="64.05" customHeight="1" x14ac:dyDescent="0.3">
      <c r="B19" s="3" t="s">
        <v>14</v>
      </c>
      <c r="C19" s="6" t="s">
        <v>15</v>
      </c>
    </row>
    <row r="21" spans="2:3" ht="112.05" customHeight="1" x14ac:dyDescent="0.3">
      <c r="B21" s="3" t="s">
        <v>16</v>
      </c>
      <c r="C21" s="7" t="s">
        <v>17</v>
      </c>
    </row>
    <row r="23" spans="2:3" ht="94.05" customHeight="1" x14ac:dyDescent="0.3">
      <c r="B23" s="3" t="s">
        <v>18</v>
      </c>
      <c r="C23" s="4" t="s">
        <v>19</v>
      </c>
    </row>
    <row r="25" spans="2:3" ht="85.05" customHeight="1" x14ac:dyDescent="0.3">
      <c r="C25" s="21" t="s">
        <v>20</v>
      </c>
    </row>
  </sheetData>
  <mergeCells count="1">
    <mergeCell ref="C25"/>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49"/>
  <sheetViews>
    <sheetView showGridLines="0" workbookViewId="0">
      <pane xSplit="10" ySplit="4" topLeftCell="K5" activePane="bottomRight" state="frozen"/>
      <selection pane="topRight"/>
      <selection pane="bottomLeft"/>
      <selection pane="bottomRight"/>
    </sheetView>
  </sheetViews>
  <sheetFormatPr defaultRowHeight="14.4" x14ac:dyDescent="0.3"/>
  <cols>
    <col min="1" max="1" width="4" customWidth="1"/>
    <col min="2" max="2" width="24" customWidth="1"/>
    <col min="3" max="3" width="50" customWidth="1"/>
    <col min="4" max="5" width="13" customWidth="1"/>
    <col min="6" max="6" width="6" customWidth="1"/>
    <col min="7" max="8" width="11" customWidth="1"/>
    <col min="9" max="9" width="7" customWidth="1"/>
    <col min="10" max="10" width="11" customWidth="1"/>
    <col min="11" max="54" width="2.6640625" customWidth="1"/>
  </cols>
  <sheetData>
    <row r="1" spans="1:54" ht="17.399999999999999" x14ac:dyDescent="0.3">
      <c r="A1" s="8" t="str">
        <f>"Construction schedule / बांधकाम वेळापत्रक - "&amp;Setup!$B$5</f>
        <v>Construction schedule / बांधकाम वेळापत्रक - Type the site name
साइटचे नाव लिहा.</v>
      </c>
    </row>
    <row r="2" spans="1:54" ht="58.05" customHeight="1" x14ac:dyDescent="0.3">
      <c r="A2" s="22" t="s">
        <v>21</v>
      </c>
      <c r="B2" s="23"/>
      <c r="C2" s="23"/>
      <c r="D2" s="23"/>
      <c r="E2" s="23"/>
    </row>
    <row r="4" spans="1:54" ht="94.05" customHeight="1" x14ac:dyDescent="0.3">
      <c r="A4" s="9" t="s">
        <v>22</v>
      </c>
      <c r="B4" s="9" t="s">
        <v>23</v>
      </c>
      <c r="C4" s="9" t="s">
        <v>24</v>
      </c>
      <c r="D4" s="9" t="s">
        <v>25</v>
      </c>
      <c r="E4" s="9" t="s">
        <v>26</v>
      </c>
      <c r="F4" s="9" t="s">
        <v>27</v>
      </c>
      <c r="G4" s="9" t="s">
        <v>28</v>
      </c>
      <c r="H4" s="9" t="s">
        <v>29</v>
      </c>
      <c r="I4" s="9" t="s">
        <v>30</v>
      </c>
      <c r="J4" s="9" t="s">
        <v>31</v>
      </c>
      <c r="K4" s="10">
        <f>Setup!$B$4+0</f>
        <v>46328</v>
      </c>
      <c r="L4" s="10">
        <f>Setup!$B$4+7</f>
        <v>46335</v>
      </c>
      <c r="M4" s="10">
        <f>Setup!$B$4+14</f>
        <v>46342</v>
      </c>
      <c r="N4" s="10">
        <f>Setup!$B$4+21</f>
        <v>46349</v>
      </c>
      <c r="O4" s="10">
        <f>Setup!$B$4+28</f>
        <v>46356</v>
      </c>
      <c r="P4" s="10">
        <f>Setup!$B$4+35</f>
        <v>46363</v>
      </c>
      <c r="Q4" s="10">
        <f>Setup!$B$4+42</f>
        <v>46370</v>
      </c>
      <c r="R4" s="10">
        <f>Setup!$B$4+49</f>
        <v>46377</v>
      </c>
      <c r="S4" s="10">
        <f>Setup!$B$4+56</f>
        <v>46384</v>
      </c>
      <c r="T4" s="10">
        <f>Setup!$B$4+63</f>
        <v>46391</v>
      </c>
      <c r="U4" s="10">
        <f>Setup!$B$4+70</f>
        <v>46398</v>
      </c>
      <c r="V4" s="10">
        <f>Setup!$B$4+77</f>
        <v>46405</v>
      </c>
      <c r="W4" s="10">
        <f>Setup!$B$4+84</f>
        <v>46412</v>
      </c>
      <c r="X4" s="10">
        <f>Setup!$B$4+91</f>
        <v>46419</v>
      </c>
      <c r="Y4" s="10">
        <f>Setup!$B$4+98</f>
        <v>46426</v>
      </c>
      <c r="Z4" s="10">
        <f>Setup!$B$4+105</f>
        <v>46433</v>
      </c>
      <c r="AA4" s="10">
        <f>Setup!$B$4+112</f>
        <v>46440</v>
      </c>
      <c r="AB4" s="10">
        <f>Setup!$B$4+119</f>
        <v>46447</v>
      </c>
      <c r="AC4" s="10">
        <f>Setup!$B$4+126</f>
        <v>46454</v>
      </c>
      <c r="AD4" s="10">
        <f>Setup!$B$4+133</f>
        <v>46461</v>
      </c>
      <c r="AE4" s="10">
        <f>Setup!$B$4+140</f>
        <v>46468</v>
      </c>
      <c r="AF4" s="10">
        <f>Setup!$B$4+147</f>
        <v>46475</v>
      </c>
      <c r="AG4" s="10">
        <f>Setup!$B$4+154</f>
        <v>46482</v>
      </c>
      <c r="AH4" s="10">
        <f>Setup!$B$4+161</f>
        <v>46489</v>
      </c>
      <c r="AI4" s="10">
        <f>Setup!$B$4+168</f>
        <v>46496</v>
      </c>
      <c r="AJ4" s="10">
        <f>Setup!$B$4+175</f>
        <v>46503</v>
      </c>
      <c r="AK4" s="10">
        <f>Setup!$B$4+182</f>
        <v>46510</v>
      </c>
      <c r="AL4" s="10">
        <f>Setup!$B$4+189</f>
        <v>46517</v>
      </c>
      <c r="AM4" s="10">
        <f>Setup!$B$4+196</f>
        <v>46524</v>
      </c>
      <c r="AN4" s="10">
        <f>Setup!$B$4+203</f>
        <v>46531</v>
      </c>
      <c r="AO4" s="10">
        <f>Setup!$B$4+210</f>
        <v>46538</v>
      </c>
      <c r="AP4" s="10">
        <f>Setup!$B$4+217</f>
        <v>46545</v>
      </c>
      <c r="AQ4" s="10">
        <f>Setup!$B$4+224</f>
        <v>46552</v>
      </c>
      <c r="AR4" s="10">
        <f>Setup!$B$4+231</f>
        <v>46559</v>
      </c>
      <c r="AS4" s="10">
        <f>Setup!$B$4+238</f>
        <v>46566</v>
      </c>
      <c r="AT4" s="10">
        <f>Setup!$B$4+245</f>
        <v>46573</v>
      </c>
      <c r="AU4" s="10">
        <f>Setup!$B$4+252</f>
        <v>46580</v>
      </c>
      <c r="AV4" s="10">
        <f>Setup!$B$4+259</f>
        <v>46587</v>
      </c>
      <c r="AW4" s="10">
        <f>Setup!$B$4+266</f>
        <v>46594</v>
      </c>
      <c r="AX4" s="10">
        <f>Setup!$B$4+273</f>
        <v>46601</v>
      </c>
      <c r="AY4" s="10">
        <f>Setup!$B$4+280</f>
        <v>46608</v>
      </c>
      <c r="AZ4" s="10">
        <f>Setup!$B$4+287</f>
        <v>46615</v>
      </c>
      <c r="BA4" s="10">
        <f>Setup!$B$4+294</f>
        <v>46622</v>
      </c>
      <c r="BB4" s="10">
        <f>Setup!$B$4+301</f>
        <v>46629</v>
      </c>
    </row>
    <row r="5" spans="1:54" ht="49.05" customHeight="1" x14ac:dyDescent="0.3">
      <c r="A5" s="11">
        <f>IF(C5="","",1)</f>
        <v>1</v>
      </c>
      <c r="B5" s="6" t="s">
        <v>32</v>
      </c>
      <c r="C5" s="6" t="s">
        <v>33</v>
      </c>
      <c r="D5" s="12"/>
      <c r="E5" s="12"/>
      <c r="F5" s="12">
        <v>10</v>
      </c>
      <c r="G5" s="13">
        <f>IF(C5="","",IF(D5="",Setup!$B$4,INDEX($H$5:$H$44,D5)+1)+N(E5))</f>
        <v>46328</v>
      </c>
      <c r="H5" s="13">
        <f t="shared" ref="H5:H44" si="0">IF(OR(C5="",F5=""),"",G5+F5-1)</f>
        <v>46337</v>
      </c>
      <c r="I5" s="14"/>
      <c r="J5" s="15" t="str">
        <f t="shared" ref="J5:J44" ca="1" si="1">IF(C5="","",IF(N(I5)&gt;=1,"Done",IF(AND(H5&lt;&gt;"",TODAY()&gt;H5),"Late",IF(N(I5)&gt;0,"In progress",IF(TODAY()&gt;=G5,"Due to start","Not started")))))</f>
        <v>Not started</v>
      </c>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row>
    <row r="6" spans="1:54" ht="49.05" customHeight="1" x14ac:dyDescent="0.3">
      <c r="A6" s="11">
        <f>IF(C6="","",2)</f>
        <v>2</v>
      </c>
      <c r="B6" s="6" t="s">
        <v>32</v>
      </c>
      <c r="C6" s="6" t="s">
        <v>34</v>
      </c>
      <c r="D6" s="12">
        <v>1</v>
      </c>
      <c r="E6" s="12"/>
      <c r="F6" s="12">
        <v>30</v>
      </c>
      <c r="G6" s="13">
        <f>IF(C6="","",IF(D6="",Setup!$B$4,INDEX($H$5:$H$44,D6)+1)+N(E6))</f>
        <v>46338</v>
      </c>
      <c r="H6" s="13">
        <f t="shared" si="0"/>
        <v>46367</v>
      </c>
      <c r="I6" s="14"/>
      <c r="J6" s="15" t="str">
        <f t="shared" ca="1" si="1"/>
        <v>Not started</v>
      </c>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ht="49.05" customHeight="1" x14ac:dyDescent="0.3">
      <c r="A7" s="11">
        <f>IF(C7="","",3)</f>
        <v>3</v>
      </c>
      <c r="B7" s="6" t="s">
        <v>32</v>
      </c>
      <c r="C7" s="6" t="s">
        <v>35</v>
      </c>
      <c r="D7" s="12">
        <v>2</v>
      </c>
      <c r="E7" s="12"/>
      <c r="F7" s="12">
        <v>7</v>
      </c>
      <c r="G7" s="13">
        <f>IF(C7="","",IF(D7="",Setup!$B$4,INDEX($H$5:$H$44,D7)+1)+N(E7))</f>
        <v>46368</v>
      </c>
      <c r="H7" s="13">
        <f t="shared" si="0"/>
        <v>46374</v>
      </c>
      <c r="I7" s="14"/>
      <c r="J7" s="15" t="str">
        <f t="shared" ca="1" si="1"/>
        <v>Not started</v>
      </c>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row>
    <row r="8" spans="1:54" ht="34.049999999999997" customHeight="1" x14ac:dyDescent="0.3">
      <c r="A8" s="11">
        <f>IF(C8="","",4)</f>
        <v>4</v>
      </c>
      <c r="B8" s="6" t="s">
        <v>36</v>
      </c>
      <c r="C8" s="6" t="s">
        <v>37</v>
      </c>
      <c r="D8" s="12">
        <v>3</v>
      </c>
      <c r="E8" s="12"/>
      <c r="F8" s="12">
        <v>5</v>
      </c>
      <c r="G8" s="13">
        <f>IF(C8="","",IF(D8="",Setup!$B$4,INDEX($H$5:$H$44,D8)+1)+N(E8))</f>
        <v>46375</v>
      </c>
      <c r="H8" s="13">
        <f t="shared" si="0"/>
        <v>46379</v>
      </c>
      <c r="I8" s="14"/>
      <c r="J8" s="15" t="str">
        <f t="shared" ca="1" si="1"/>
        <v>Not started</v>
      </c>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row>
    <row r="9" spans="1:54" ht="34.049999999999997" customHeight="1" x14ac:dyDescent="0.3">
      <c r="A9" s="11">
        <f>IF(C9="","",5)</f>
        <v>5</v>
      </c>
      <c r="B9" s="6" t="s">
        <v>36</v>
      </c>
      <c r="C9" s="6" t="s">
        <v>38</v>
      </c>
      <c r="D9" s="12">
        <v>4</v>
      </c>
      <c r="E9" s="12"/>
      <c r="F9" s="12">
        <v>10</v>
      </c>
      <c r="G9" s="13">
        <f>IF(C9="","",IF(D9="",Setup!$B$4,INDEX($H$5:$H$44,D9)+1)+N(E9))</f>
        <v>46380</v>
      </c>
      <c r="H9" s="13">
        <f t="shared" si="0"/>
        <v>46389</v>
      </c>
      <c r="I9" s="14"/>
      <c r="J9" s="15" t="str">
        <f t="shared" ca="1" si="1"/>
        <v>Not started</v>
      </c>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row>
    <row r="10" spans="1:54" ht="34.049999999999997" customHeight="1" x14ac:dyDescent="0.3">
      <c r="A10" s="11">
        <f>IF(C10="","",6)</f>
        <v>6</v>
      </c>
      <c r="B10" s="6" t="s">
        <v>36</v>
      </c>
      <c r="C10" s="6" t="s">
        <v>39</v>
      </c>
      <c r="D10" s="12">
        <v>5</v>
      </c>
      <c r="E10" s="12"/>
      <c r="F10" s="12">
        <v>10</v>
      </c>
      <c r="G10" s="13">
        <f>IF(C10="","",IF(D10="",Setup!$B$4,INDEX($H$5:$H$44,D10)+1)+N(E10))</f>
        <v>46390</v>
      </c>
      <c r="H10" s="13">
        <f t="shared" si="0"/>
        <v>46399</v>
      </c>
      <c r="I10" s="14"/>
      <c r="J10" s="15" t="str">
        <f t="shared" ca="1" si="1"/>
        <v>Not started</v>
      </c>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row>
    <row r="11" spans="1:54" ht="34.049999999999997" customHeight="1" x14ac:dyDescent="0.3">
      <c r="A11" s="11">
        <f>IF(C11="","",7)</f>
        <v>7</v>
      </c>
      <c r="B11" s="6" t="s">
        <v>36</v>
      </c>
      <c r="C11" s="6" t="s">
        <v>40</v>
      </c>
      <c r="D11" s="12">
        <v>6</v>
      </c>
      <c r="E11" s="12"/>
      <c r="F11" s="12">
        <v>3</v>
      </c>
      <c r="G11" s="13">
        <f>IF(C11="","",IF(D11="",Setup!$B$4,INDEX($H$5:$H$44,D11)+1)+N(E11))</f>
        <v>46400</v>
      </c>
      <c r="H11" s="13">
        <f t="shared" si="0"/>
        <v>46402</v>
      </c>
      <c r="I11" s="14"/>
      <c r="J11" s="15" t="str">
        <f t="shared" ca="1" si="1"/>
        <v>Not started</v>
      </c>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row>
    <row r="12" spans="1:54" ht="34.049999999999997" customHeight="1" x14ac:dyDescent="0.3">
      <c r="A12" s="11">
        <f>IF(C12="","",8)</f>
        <v>8</v>
      </c>
      <c r="B12" s="6" t="s">
        <v>41</v>
      </c>
      <c r="C12" s="6" t="s">
        <v>42</v>
      </c>
      <c r="D12" s="12">
        <v>7</v>
      </c>
      <c r="E12" s="12"/>
      <c r="F12" s="12">
        <v>8</v>
      </c>
      <c r="G12" s="13">
        <f>IF(C12="","",IF(D12="",Setup!$B$4,INDEX($H$5:$H$44,D12)+1)+N(E12))</f>
        <v>46403</v>
      </c>
      <c r="H12" s="13">
        <f t="shared" si="0"/>
        <v>46410</v>
      </c>
      <c r="I12" s="14"/>
      <c r="J12" s="15" t="str">
        <f t="shared" ca="1" si="1"/>
        <v>Not started</v>
      </c>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row>
    <row r="13" spans="1:54" ht="64.05" customHeight="1" x14ac:dyDescent="0.3">
      <c r="A13" s="11">
        <f>IF(C13="","",9)</f>
        <v>9</v>
      </c>
      <c r="B13" s="6" t="s">
        <v>41</v>
      </c>
      <c r="C13" s="6" t="s">
        <v>43</v>
      </c>
      <c r="D13" s="12">
        <v>8</v>
      </c>
      <c r="E13" s="12"/>
      <c r="F13" s="12">
        <v>12</v>
      </c>
      <c r="G13" s="13">
        <f>IF(C13="","",IF(D13="",Setup!$B$4,INDEX($H$5:$H$44,D13)+1)+N(E13))</f>
        <v>46411</v>
      </c>
      <c r="H13" s="13">
        <f t="shared" si="0"/>
        <v>46422</v>
      </c>
      <c r="I13" s="14"/>
      <c r="J13" s="15" t="str">
        <f t="shared" ca="1" si="1"/>
        <v>Not started</v>
      </c>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row>
    <row r="14" spans="1:54" ht="64.05" customHeight="1" x14ac:dyDescent="0.3">
      <c r="A14" s="11">
        <f>IF(C14="","",10)</f>
        <v>10</v>
      </c>
      <c r="B14" s="6" t="s">
        <v>41</v>
      </c>
      <c r="C14" s="6" t="s">
        <v>44</v>
      </c>
      <c r="D14" s="12">
        <v>9</v>
      </c>
      <c r="E14" s="12"/>
      <c r="F14" s="12">
        <v>14</v>
      </c>
      <c r="G14" s="13">
        <f>IF(C14="","",IF(D14="",Setup!$B$4,INDEX($H$5:$H$44,D14)+1)+N(E14))</f>
        <v>46423</v>
      </c>
      <c r="H14" s="13">
        <f t="shared" si="0"/>
        <v>46436</v>
      </c>
      <c r="I14" s="14"/>
      <c r="J14" s="15" t="str">
        <f t="shared" ca="1" si="1"/>
        <v>Not started</v>
      </c>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row>
    <row r="15" spans="1:54" ht="34.049999999999997" customHeight="1" x14ac:dyDescent="0.3">
      <c r="A15" s="11">
        <f>IF(C15="","",11)</f>
        <v>11</v>
      </c>
      <c r="B15" s="6" t="s">
        <v>41</v>
      </c>
      <c r="C15" s="6" t="s">
        <v>45</v>
      </c>
      <c r="D15" s="12">
        <v>10</v>
      </c>
      <c r="E15" s="12"/>
      <c r="F15" s="12">
        <v>8</v>
      </c>
      <c r="G15" s="13">
        <f>IF(C15="","",IF(D15="",Setup!$B$4,INDEX($H$5:$H$44,D15)+1)+N(E15))</f>
        <v>46437</v>
      </c>
      <c r="H15" s="13">
        <f t="shared" si="0"/>
        <v>46444</v>
      </c>
      <c r="I15" s="14"/>
      <c r="J15" s="15" t="str">
        <f t="shared" ca="1" si="1"/>
        <v>Not started</v>
      </c>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row>
    <row r="16" spans="1:54" ht="34.049999999999997" customHeight="1" x14ac:dyDescent="0.3">
      <c r="A16" s="11">
        <f>IF(C16="","",12)</f>
        <v>12</v>
      </c>
      <c r="B16" s="6" t="s">
        <v>41</v>
      </c>
      <c r="C16" s="6" t="s">
        <v>46</v>
      </c>
      <c r="D16" s="12">
        <v>11</v>
      </c>
      <c r="E16" s="12"/>
      <c r="F16" s="12">
        <v>12</v>
      </c>
      <c r="G16" s="13">
        <f>IF(C16="","",IF(D16="",Setup!$B$4,INDEX($H$5:$H$44,D16)+1)+N(E16))</f>
        <v>46445</v>
      </c>
      <c r="H16" s="13">
        <f t="shared" si="0"/>
        <v>46456</v>
      </c>
      <c r="I16" s="14"/>
      <c r="J16" s="15" t="str">
        <f t="shared" ca="1" si="1"/>
        <v>Not started</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row>
    <row r="17" spans="1:54" ht="34.049999999999997" customHeight="1" x14ac:dyDescent="0.3">
      <c r="A17" s="11">
        <f>IF(C17="","",13)</f>
        <v>13</v>
      </c>
      <c r="B17" s="6" t="s">
        <v>41</v>
      </c>
      <c r="C17" s="6" t="s">
        <v>47</v>
      </c>
      <c r="D17" s="12">
        <v>12</v>
      </c>
      <c r="E17" s="12"/>
      <c r="F17" s="12">
        <v>14</v>
      </c>
      <c r="G17" s="13">
        <f>IF(C17="","",IF(D17="",Setup!$B$4,INDEX($H$5:$H$44,D17)+1)+N(E17))</f>
        <v>46457</v>
      </c>
      <c r="H17" s="13">
        <f t="shared" si="0"/>
        <v>46470</v>
      </c>
      <c r="I17" s="14"/>
      <c r="J17" s="15" t="str">
        <f t="shared" ca="1" si="1"/>
        <v>Not started</v>
      </c>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row>
    <row r="18" spans="1:54" ht="34.049999999999997" customHeight="1" x14ac:dyDescent="0.3">
      <c r="A18" s="11">
        <f>IF(C18="","",14)</f>
        <v>14</v>
      </c>
      <c r="B18" s="6" t="s">
        <v>48</v>
      </c>
      <c r="C18" s="6" t="s">
        <v>49</v>
      </c>
      <c r="D18" s="12">
        <v>10</v>
      </c>
      <c r="E18" s="12"/>
      <c r="F18" s="12">
        <v>15</v>
      </c>
      <c r="G18" s="13">
        <f>IF(C18="","",IF(D18="",Setup!$B$4,INDEX($H$5:$H$44,D18)+1)+N(E18))</f>
        <v>46437</v>
      </c>
      <c r="H18" s="13">
        <f t="shared" si="0"/>
        <v>46451</v>
      </c>
      <c r="I18" s="14"/>
      <c r="J18" s="15" t="str">
        <f t="shared" ca="1" si="1"/>
        <v>Not started</v>
      </c>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row>
    <row r="19" spans="1:54" ht="34.049999999999997" customHeight="1" x14ac:dyDescent="0.3">
      <c r="A19" s="11">
        <f>IF(C19="","",15)</f>
        <v>15</v>
      </c>
      <c r="B19" s="6" t="s">
        <v>48</v>
      </c>
      <c r="C19" s="6" t="s">
        <v>50</v>
      </c>
      <c r="D19" s="12">
        <v>13</v>
      </c>
      <c r="E19" s="12"/>
      <c r="F19" s="12">
        <v>15</v>
      </c>
      <c r="G19" s="13">
        <f>IF(C19="","",IF(D19="",Setup!$B$4,INDEX($H$5:$H$44,D19)+1)+N(E19))</f>
        <v>46471</v>
      </c>
      <c r="H19" s="13">
        <f t="shared" si="0"/>
        <v>46485</v>
      </c>
      <c r="I19" s="14"/>
      <c r="J19" s="15" t="str">
        <f t="shared" ca="1" si="1"/>
        <v>Not started</v>
      </c>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row>
    <row r="20" spans="1:54" ht="34.049999999999997" customHeight="1" x14ac:dyDescent="0.3">
      <c r="A20" s="11">
        <f>IF(C20="","",16)</f>
        <v>16</v>
      </c>
      <c r="B20" s="6" t="s">
        <v>51</v>
      </c>
      <c r="C20" s="6" t="s">
        <v>52</v>
      </c>
      <c r="D20" s="12">
        <v>15</v>
      </c>
      <c r="E20" s="12"/>
      <c r="F20" s="12">
        <v>7</v>
      </c>
      <c r="G20" s="13">
        <f>IF(C20="","",IF(D20="",Setup!$B$4,INDEX($H$5:$H$44,D20)+1)+N(E20))</f>
        <v>46486</v>
      </c>
      <c r="H20" s="13">
        <f t="shared" si="0"/>
        <v>46492</v>
      </c>
      <c r="I20" s="14"/>
      <c r="J20" s="15" t="str">
        <f t="shared" ca="1" si="1"/>
        <v>Not started</v>
      </c>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row>
    <row r="21" spans="1:54" ht="34.049999999999997" customHeight="1" x14ac:dyDescent="0.3">
      <c r="A21" s="11">
        <f>IF(C21="","",17)</f>
        <v>17</v>
      </c>
      <c r="B21" s="6" t="s">
        <v>51</v>
      </c>
      <c r="C21" s="6" t="s">
        <v>53</v>
      </c>
      <c r="D21" s="12">
        <v>15</v>
      </c>
      <c r="E21" s="12"/>
      <c r="F21" s="12">
        <v>7</v>
      </c>
      <c r="G21" s="13">
        <f>IF(C21="","",IF(D21="",Setup!$B$4,INDEX($H$5:$H$44,D21)+1)+N(E21))</f>
        <v>46486</v>
      </c>
      <c r="H21" s="13">
        <f t="shared" si="0"/>
        <v>46492</v>
      </c>
      <c r="I21" s="14"/>
      <c r="J21" s="15" t="str">
        <f t="shared" ca="1" si="1"/>
        <v>Not started</v>
      </c>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row>
    <row r="22" spans="1:54" ht="49.05" customHeight="1" x14ac:dyDescent="0.3">
      <c r="A22" s="11">
        <f>IF(C22="","",18)</f>
        <v>18</v>
      </c>
      <c r="B22" s="6" t="s">
        <v>54</v>
      </c>
      <c r="C22" s="6" t="s">
        <v>55</v>
      </c>
      <c r="D22" s="12">
        <v>13</v>
      </c>
      <c r="E22" s="12"/>
      <c r="F22" s="12">
        <v>5</v>
      </c>
      <c r="G22" s="13">
        <f>IF(C22="","",IF(D22="",Setup!$B$4,INDEX($H$5:$H$44,D22)+1)+N(E22))</f>
        <v>46471</v>
      </c>
      <c r="H22" s="13">
        <f t="shared" si="0"/>
        <v>46475</v>
      </c>
      <c r="I22" s="14"/>
      <c r="J22" s="15" t="str">
        <f t="shared" ca="1" si="1"/>
        <v>Not started</v>
      </c>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row>
    <row r="23" spans="1:54" ht="49.05" customHeight="1" x14ac:dyDescent="0.3">
      <c r="A23" s="11">
        <f>IF(C23="","",19)</f>
        <v>19</v>
      </c>
      <c r="B23" s="6" t="s">
        <v>54</v>
      </c>
      <c r="C23" s="6" t="s">
        <v>56</v>
      </c>
      <c r="D23" s="12">
        <v>17</v>
      </c>
      <c r="E23" s="12"/>
      <c r="F23" s="12">
        <v>15</v>
      </c>
      <c r="G23" s="13">
        <f>IF(C23="","",IF(D23="",Setup!$B$4,INDEX($H$5:$H$44,D23)+1)+N(E23))</f>
        <v>46493</v>
      </c>
      <c r="H23" s="13">
        <f t="shared" si="0"/>
        <v>46507</v>
      </c>
      <c r="I23" s="14"/>
      <c r="J23" s="15" t="str">
        <f t="shared" ca="1" si="1"/>
        <v>Not started</v>
      </c>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row>
    <row r="24" spans="1:54" ht="49.05" customHeight="1" x14ac:dyDescent="0.3">
      <c r="A24" s="11">
        <f>IF(C24="","",20)</f>
        <v>20</v>
      </c>
      <c r="B24" s="6" t="s">
        <v>54</v>
      </c>
      <c r="C24" s="6" t="s">
        <v>57</v>
      </c>
      <c r="D24" s="12">
        <v>19</v>
      </c>
      <c r="E24" s="12"/>
      <c r="F24" s="12">
        <v>12</v>
      </c>
      <c r="G24" s="13">
        <f>IF(C24="","",IF(D24="",Setup!$B$4,INDEX($H$5:$H$44,D24)+1)+N(E24))</f>
        <v>46508</v>
      </c>
      <c r="H24" s="13">
        <f t="shared" si="0"/>
        <v>46519</v>
      </c>
      <c r="I24" s="14"/>
      <c r="J24" s="15" t="str">
        <f t="shared" ca="1" si="1"/>
        <v>Not started</v>
      </c>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row>
    <row r="25" spans="1:54" ht="49.05" customHeight="1" x14ac:dyDescent="0.3">
      <c r="A25" s="11">
        <f>IF(C25="","",21)</f>
        <v>21</v>
      </c>
      <c r="B25" s="6" t="s">
        <v>54</v>
      </c>
      <c r="C25" s="6" t="s">
        <v>58</v>
      </c>
      <c r="D25" s="12">
        <v>19</v>
      </c>
      <c r="E25" s="12"/>
      <c r="F25" s="12">
        <v>15</v>
      </c>
      <c r="G25" s="13">
        <f>IF(C25="","",IF(D25="",Setup!$B$4,INDEX($H$5:$H$44,D25)+1)+N(E25))</f>
        <v>46508</v>
      </c>
      <c r="H25" s="13">
        <f t="shared" si="0"/>
        <v>46522</v>
      </c>
      <c r="I25" s="14"/>
      <c r="J25" s="15" t="str">
        <f t="shared" ca="1" si="1"/>
        <v>Not started</v>
      </c>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row>
    <row r="26" spans="1:54" ht="49.05" customHeight="1" x14ac:dyDescent="0.3">
      <c r="A26" s="11">
        <f>IF(C26="","",22)</f>
        <v>22</v>
      </c>
      <c r="B26" s="6" t="s">
        <v>54</v>
      </c>
      <c r="C26" s="6" t="s">
        <v>59</v>
      </c>
      <c r="D26" s="12">
        <v>21</v>
      </c>
      <c r="E26" s="12"/>
      <c r="F26" s="12">
        <v>10</v>
      </c>
      <c r="G26" s="13">
        <f>IF(C26="","",IF(D26="",Setup!$B$4,INDEX($H$5:$H$44,D26)+1)+N(E26))</f>
        <v>46523</v>
      </c>
      <c r="H26" s="13">
        <f t="shared" si="0"/>
        <v>46532</v>
      </c>
      <c r="I26" s="14"/>
      <c r="J26" s="15" t="str">
        <f t="shared" ca="1" si="1"/>
        <v>Not started</v>
      </c>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row>
    <row r="27" spans="1:54" ht="49.05" customHeight="1" x14ac:dyDescent="0.3">
      <c r="A27" s="11">
        <f>IF(C27="","",23)</f>
        <v>23</v>
      </c>
      <c r="B27" s="6" t="s">
        <v>54</v>
      </c>
      <c r="C27" s="6" t="s">
        <v>60</v>
      </c>
      <c r="D27" s="12">
        <v>22</v>
      </c>
      <c r="E27" s="12"/>
      <c r="F27" s="12">
        <v>15</v>
      </c>
      <c r="G27" s="13">
        <f>IF(C27="","",IF(D27="",Setup!$B$4,INDEX($H$5:$H$44,D27)+1)+N(E27))</f>
        <v>46533</v>
      </c>
      <c r="H27" s="13">
        <f t="shared" si="0"/>
        <v>46547</v>
      </c>
      <c r="I27" s="14"/>
      <c r="J27" s="15" t="str">
        <f t="shared" ca="1" si="1"/>
        <v>Not started</v>
      </c>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row>
    <row r="28" spans="1:54" ht="49.05" customHeight="1" x14ac:dyDescent="0.3">
      <c r="A28" s="11">
        <f>IF(C28="","",24)</f>
        <v>24</v>
      </c>
      <c r="B28" s="6" t="s">
        <v>54</v>
      </c>
      <c r="C28" s="6" t="s">
        <v>61</v>
      </c>
      <c r="D28" s="12">
        <v>23</v>
      </c>
      <c r="E28" s="12"/>
      <c r="F28" s="12">
        <v>7</v>
      </c>
      <c r="G28" s="13">
        <f>IF(C28="","",IF(D28="",Setup!$B$4,INDEX($H$5:$H$44,D28)+1)+N(E28))</f>
        <v>46548</v>
      </c>
      <c r="H28" s="13">
        <f t="shared" si="0"/>
        <v>46554</v>
      </c>
      <c r="I28" s="14"/>
      <c r="J28" s="15" t="str">
        <f t="shared" ca="1" si="1"/>
        <v>Not started</v>
      </c>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row>
    <row r="29" spans="1:54" ht="34.049999999999997" customHeight="1" x14ac:dyDescent="0.3">
      <c r="A29" s="11">
        <f>IF(C29="","",25)</f>
        <v>25</v>
      </c>
      <c r="B29" s="6" t="s">
        <v>62</v>
      </c>
      <c r="C29" s="6" t="s">
        <v>63</v>
      </c>
      <c r="D29" s="12">
        <v>24</v>
      </c>
      <c r="E29" s="12"/>
      <c r="F29" s="12">
        <v>5</v>
      </c>
      <c r="G29" s="13">
        <f>IF(C29="","",IF(D29="",Setup!$B$4,INDEX($H$5:$H$44,D29)+1)+N(E29))</f>
        <v>46555</v>
      </c>
      <c r="H29" s="13">
        <f t="shared" si="0"/>
        <v>46559</v>
      </c>
      <c r="I29" s="14"/>
      <c r="J29" s="15" t="str">
        <f t="shared" ca="1" si="1"/>
        <v>Not started</v>
      </c>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row>
    <row r="30" spans="1:54" ht="34.049999999999997" customHeight="1" x14ac:dyDescent="0.3">
      <c r="A30" s="11">
        <f>IF(C30="","",26)</f>
        <v>26</v>
      </c>
      <c r="B30" s="6" t="s">
        <v>62</v>
      </c>
      <c r="C30" s="6" t="s">
        <v>64</v>
      </c>
      <c r="D30" s="12">
        <v>25</v>
      </c>
      <c r="E30" s="12"/>
      <c r="F30" s="12">
        <v>15</v>
      </c>
      <c r="G30" s="13">
        <f>IF(C30="","",IF(D30="",Setup!$B$4,INDEX($H$5:$H$44,D30)+1)+N(E30))</f>
        <v>46560</v>
      </c>
      <c r="H30" s="13">
        <f t="shared" si="0"/>
        <v>46574</v>
      </c>
      <c r="I30" s="14"/>
      <c r="J30" s="15" t="str">
        <f t="shared" ca="1" si="1"/>
        <v>Not started</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row>
    <row r="31" spans="1:54" x14ac:dyDescent="0.3">
      <c r="A31" s="11" t="str">
        <f>IF(C31="","",27)</f>
        <v/>
      </c>
      <c r="B31" s="12"/>
      <c r="C31" s="12"/>
      <c r="D31" s="12"/>
      <c r="E31" s="12"/>
      <c r="F31" s="12"/>
      <c r="G31" s="13" t="str">
        <f>IF(C31="","",IF(D31="",Setup!$B$4,INDEX($H$5:$H$44,D31)+1)+N(E31))</f>
        <v/>
      </c>
      <c r="H31" s="13" t="str">
        <f t="shared" si="0"/>
        <v/>
      </c>
      <c r="I31" s="14"/>
      <c r="J31" s="15" t="str">
        <f t="shared" ca="1" si="1"/>
        <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row>
    <row r="32" spans="1:54" x14ac:dyDescent="0.3">
      <c r="A32" s="11" t="str">
        <f>IF(C32="","",28)</f>
        <v/>
      </c>
      <c r="B32" s="12"/>
      <c r="C32" s="12"/>
      <c r="D32" s="12"/>
      <c r="E32" s="12"/>
      <c r="F32" s="12"/>
      <c r="G32" s="13" t="str">
        <f>IF(C32="","",IF(D32="",Setup!$B$4,INDEX($H$5:$H$44,D32)+1)+N(E32))</f>
        <v/>
      </c>
      <c r="H32" s="13" t="str">
        <f t="shared" si="0"/>
        <v/>
      </c>
      <c r="I32" s="14"/>
      <c r="J32" s="15" t="str">
        <f t="shared" ca="1" si="1"/>
        <v/>
      </c>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row>
    <row r="33" spans="1:54" x14ac:dyDescent="0.3">
      <c r="A33" s="11" t="str">
        <f>IF(C33="","",29)</f>
        <v/>
      </c>
      <c r="B33" s="12"/>
      <c r="C33" s="12"/>
      <c r="D33" s="12"/>
      <c r="E33" s="12"/>
      <c r="F33" s="12"/>
      <c r="G33" s="13" t="str">
        <f>IF(C33="","",IF(D33="",Setup!$B$4,INDEX($H$5:$H$44,D33)+1)+N(E33))</f>
        <v/>
      </c>
      <c r="H33" s="13" t="str">
        <f t="shared" si="0"/>
        <v/>
      </c>
      <c r="I33" s="14"/>
      <c r="J33" s="15" t="str">
        <f t="shared" ca="1" si="1"/>
        <v/>
      </c>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row>
    <row r="34" spans="1:54" x14ac:dyDescent="0.3">
      <c r="A34" s="11" t="str">
        <f>IF(C34="","",30)</f>
        <v/>
      </c>
      <c r="B34" s="12"/>
      <c r="C34" s="12"/>
      <c r="D34" s="12"/>
      <c r="E34" s="12"/>
      <c r="F34" s="12"/>
      <c r="G34" s="13" t="str">
        <f>IF(C34="","",IF(D34="",Setup!$B$4,INDEX($H$5:$H$44,D34)+1)+N(E34))</f>
        <v/>
      </c>
      <c r="H34" s="13" t="str">
        <f t="shared" si="0"/>
        <v/>
      </c>
      <c r="I34" s="14"/>
      <c r="J34" s="15" t="str">
        <f t="shared" ca="1" si="1"/>
        <v/>
      </c>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row>
    <row r="35" spans="1:54" x14ac:dyDescent="0.3">
      <c r="A35" s="11" t="str">
        <f>IF(C35="","",31)</f>
        <v/>
      </c>
      <c r="B35" s="12"/>
      <c r="C35" s="12"/>
      <c r="D35" s="12"/>
      <c r="E35" s="12"/>
      <c r="F35" s="12"/>
      <c r="G35" s="13" t="str">
        <f>IF(C35="","",IF(D35="",Setup!$B$4,INDEX($H$5:$H$44,D35)+1)+N(E35))</f>
        <v/>
      </c>
      <c r="H35" s="13" t="str">
        <f t="shared" si="0"/>
        <v/>
      </c>
      <c r="I35" s="14"/>
      <c r="J35" s="15" t="str">
        <f t="shared" ca="1" si="1"/>
        <v/>
      </c>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row>
    <row r="36" spans="1:54" x14ac:dyDescent="0.3">
      <c r="A36" s="11" t="str">
        <f>IF(C36="","",32)</f>
        <v/>
      </c>
      <c r="B36" s="12"/>
      <c r="C36" s="12"/>
      <c r="D36" s="12"/>
      <c r="E36" s="12"/>
      <c r="F36" s="12"/>
      <c r="G36" s="13" t="str">
        <f>IF(C36="","",IF(D36="",Setup!$B$4,INDEX($H$5:$H$44,D36)+1)+N(E36))</f>
        <v/>
      </c>
      <c r="H36" s="13" t="str">
        <f t="shared" si="0"/>
        <v/>
      </c>
      <c r="I36" s="14"/>
      <c r="J36" s="15" t="str">
        <f t="shared" ca="1" si="1"/>
        <v/>
      </c>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row>
    <row r="37" spans="1:54" x14ac:dyDescent="0.3">
      <c r="A37" s="11" t="str">
        <f>IF(C37="","",33)</f>
        <v/>
      </c>
      <c r="B37" s="12"/>
      <c r="C37" s="12"/>
      <c r="D37" s="12"/>
      <c r="E37" s="12"/>
      <c r="F37" s="12"/>
      <c r="G37" s="13" t="str">
        <f>IF(C37="","",IF(D37="",Setup!$B$4,INDEX($H$5:$H$44,D37)+1)+N(E37))</f>
        <v/>
      </c>
      <c r="H37" s="13" t="str">
        <f t="shared" si="0"/>
        <v/>
      </c>
      <c r="I37" s="14"/>
      <c r="J37" s="15" t="str">
        <f t="shared" ca="1" si="1"/>
        <v/>
      </c>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row>
    <row r="38" spans="1:54" x14ac:dyDescent="0.3">
      <c r="A38" s="11" t="str">
        <f>IF(C38="","",34)</f>
        <v/>
      </c>
      <c r="B38" s="12"/>
      <c r="C38" s="12"/>
      <c r="D38" s="12"/>
      <c r="E38" s="12"/>
      <c r="F38" s="12"/>
      <c r="G38" s="13" t="str">
        <f>IF(C38="","",IF(D38="",Setup!$B$4,INDEX($H$5:$H$44,D38)+1)+N(E38))</f>
        <v/>
      </c>
      <c r="H38" s="13" t="str">
        <f t="shared" si="0"/>
        <v/>
      </c>
      <c r="I38" s="14"/>
      <c r="J38" s="15" t="str">
        <f t="shared" ca="1" si="1"/>
        <v/>
      </c>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row>
    <row r="39" spans="1:54" x14ac:dyDescent="0.3">
      <c r="A39" s="11" t="str">
        <f>IF(C39="","",35)</f>
        <v/>
      </c>
      <c r="B39" s="12"/>
      <c r="C39" s="12"/>
      <c r="D39" s="12"/>
      <c r="E39" s="12"/>
      <c r="F39" s="12"/>
      <c r="G39" s="13" t="str">
        <f>IF(C39="","",IF(D39="",Setup!$B$4,INDEX($H$5:$H$44,D39)+1)+N(E39))</f>
        <v/>
      </c>
      <c r="H39" s="13" t="str">
        <f t="shared" si="0"/>
        <v/>
      </c>
      <c r="I39" s="14"/>
      <c r="J39" s="15" t="str">
        <f t="shared" ca="1" si="1"/>
        <v/>
      </c>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row>
    <row r="40" spans="1:54" x14ac:dyDescent="0.3">
      <c r="A40" s="11" t="str">
        <f>IF(C40="","",36)</f>
        <v/>
      </c>
      <c r="B40" s="12"/>
      <c r="C40" s="12"/>
      <c r="D40" s="12"/>
      <c r="E40" s="12"/>
      <c r="F40" s="12"/>
      <c r="G40" s="13" t="str">
        <f>IF(C40="","",IF(D40="",Setup!$B$4,INDEX($H$5:$H$44,D40)+1)+N(E40))</f>
        <v/>
      </c>
      <c r="H40" s="13" t="str">
        <f t="shared" si="0"/>
        <v/>
      </c>
      <c r="I40" s="14"/>
      <c r="J40" s="15" t="str">
        <f t="shared" ca="1" si="1"/>
        <v/>
      </c>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row>
    <row r="41" spans="1:54" x14ac:dyDescent="0.3">
      <c r="A41" s="11" t="str">
        <f>IF(C41="","",37)</f>
        <v/>
      </c>
      <c r="B41" s="12"/>
      <c r="C41" s="12"/>
      <c r="D41" s="12"/>
      <c r="E41" s="12"/>
      <c r="F41" s="12"/>
      <c r="G41" s="13" t="str">
        <f>IF(C41="","",IF(D41="",Setup!$B$4,INDEX($H$5:$H$44,D41)+1)+N(E41))</f>
        <v/>
      </c>
      <c r="H41" s="13" t="str">
        <f t="shared" si="0"/>
        <v/>
      </c>
      <c r="I41" s="14"/>
      <c r="J41" s="15" t="str">
        <f t="shared" ca="1" si="1"/>
        <v/>
      </c>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row>
    <row r="42" spans="1:54" x14ac:dyDescent="0.3">
      <c r="A42" s="11" t="str">
        <f>IF(C42="","",38)</f>
        <v/>
      </c>
      <c r="B42" s="12"/>
      <c r="C42" s="12"/>
      <c r="D42" s="12"/>
      <c r="E42" s="12"/>
      <c r="F42" s="12"/>
      <c r="G42" s="13" t="str">
        <f>IF(C42="","",IF(D42="",Setup!$B$4,INDEX($H$5:$H$44,D42)+1)+N(E42))</f>
        <v/>
      </c>
      <c r="H42" s="13" t="str">
        <f t="shared" si="0"/>
        <v/>
      </c>
      <c r="I42" s="14"/>
      <c r="J42" s="15" t="str">
        <f t="shared" ca="1" si="1"/>
        <v/>
      </c>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row>
    <row r="43" spans="1:54" x14ac:dyDescent="0.3">
      <c r="A43" s="11" t="str">
        <f>IF(C43="","",39)</f>
        <v/>
      </c>
      <c r="B43" s="12"/>
      <c r="C43" s="12"/>
      <c r="D43" s="12"/>
      <c r="E43" s="12"/>
      <c r="F43" s="12"/>
      <c r="G43" s="13" t="str">
        <f>IF(C43="","",IF(D43="",Setup!$B$4,INDEX($H$5:$H$44,D43)+1)+N(E43))</f>
        <v/>
      </c>
      <c r="H43" s="13" t="str">
        <f t="shared" si="0"/>
        <v/>
      </c>
      <c r="I43" s="14"/>
      <c r="J43" s="15" t="str">
        <f t="shared" ca="1" si="1"/>
        <v/>
      </c>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row>
    <row r="44" spans="1:54" x14ac:dyDescent="0.3">
      <c r="A44" s="11" t="str">
        <f>IF(C44="","",40)</f>
        <v/>
      </c>
      <c r="B44" s="12"/>
      <c r="C44" s="12"/>
      <c r="D44" s="12"/>
      <c r="E44" s="12"/>
      <c r="F44" s="12"/>
      <c r="G44" s="13" t="str">
        <f>IF(C44="","",IF(D44="",Setup!$B$4,INDEX($H$5:$H$44,D44)+1)+N(E44))</f>
        <v/>
      </c>
      <c r="H44" s="13" t="str">
        <f t="shared" si="0"/>
        <v/>
      </c>
      <c r="I44" s="14"/>
      <c r="J44" s="15" t="str">
        <f t="shared" ca="1" si="1"/>
        <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row>
    <row r="46" spans="1:54" ht="71.55" customHeight="1" x14ac:dyDescent="0.3">
      <c r="C46" s="3" t="s">
        <v>65</v>
      </c>
      <c r="G46" s="16">
        <f>IF(COUNT(H5:H44)=0,"",MAX(H5:H44))</f>
        <v>46574</v>
      </c>
      <c r="K46" s="21" t="s">
        <v>66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row>
    <row r="47" spans="1:54" ht="34.049999999999997" customHeight="1" x14ac:dyDescent="0.3">
      <c r="C47" s="3" t="s">
        <v>67</v>
      </c>
      <c r="G47">
        <f>IF(G46="","",G46-Setup!$B$4+1)</f>
        <v>247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row>
    <row r="48" spans="1:54" ht="34.049999999999997" customHeight="1" x14ac:dyDescent="0.3">
      <c r="C48" s="3" t="s">
        <v>68</v>
      </c>
      <c r="G48" s="17">
        <f ca="1">COUNTIF(J5:J44,"Late")</f>
        <v>0</v>
      </c>
    </row>
    <row r="49" spans="3:7" ht="34.049999999999997" customHeight="1" x14ac:dyDescent="0.3">
      <c r="C49" s="3" t="s">
        <v>69</v>
      </c>
      <c r="G49" s="18">
        <f>IFERROR(SUMPRODUCT(N(+F5:F44),N(+I5:I44))/SUM(F5:F44),0)</f>
        <v>0</v>
      </c>
    </row>
  </sheetData>
  <mergeCells count="2">
    <mergeCell ref="A2:E2"/>
    <mergeCell ref="K46:AO47"/>
  </mergeCells>
  <conditionalFormatting sqref="I5:I44">
    <cfRule type="dataBar" priority="7">
      <dataBar>
        <cfvo type="num" val="0"/>
        <cfvo type="num" val="1"/>
        <color rgb="FF7D8F72"/>
      </dataBar>
    </cfRule>
  </conditionalFormatting>
  <conditionalFormatting sqref="J5:J44">
    <cfRule type="cellIs" dxfId="5" priority="5" operator="equal">
      <formula>"Late"</formula>
    </cfRule>
    <cfRule type="cellIs" dxfId="4" priority="6" operator="equal">
      <formula>"Done"</formula>
    </cfRule>
  </conditionalFormatting>
  <conditionalFormatting sqref="K5:BB44">
    <cfRule type="expression" dxfId="3" priority="1" stopIfTrue="1">
      <formula>AND($G5&lt;&gt;"",$H5&lt;&gt;"",K$4&lt;=($G5+ROUND(($H5-$G5+1)*N($I5),0)-1),K$4+6&gt;=$G5,N($I5)&gt;0)</formula>
    </cfRule>
    <cfRule type="expression" dxfId="2" priority="2" stopIfTrue="1">
      <formula>AND($G5&lt;&gt;"",$H5&lt;&gt;"",K$4&lt;=$H5,K$4+6&gt;=$G5,$J5="Late")</formula>
    </cfRule>
    <cfRule type="expression" dxfId="1" priority="3" stopIfTrue="1">
      <formula>AND($G5&lt;&gt;"",$H5&lt;&gt;"",K$4&lt;=$H5,K$4+6&gt;=$G5)</formula>
    </cfRule>
    <cfRule type="expression" dxfId="0" priority="4">
      <formula>AND(TODAY()&gt;=K$4,TODAY()&lt;K$4+7)</formula>
    </cfRule>
  </conditionalFormatting>
  <dataValidations count="2">
    <dataValidation type="decimal" allowBlank="1" showErrorMessage="1" error="Type a percentage from 0% to 100%. / 0% ते 100% पर्यंत टक्केवारी लिहा." sqref="I5:I44" xr:uid="{00000000-0002-0000-0100-000001000000}">
      <formula1>0</formula1>
      <formula2>1</formula2>
    </dataValidation>
    <dataValidation type="whole" allowBlank="1" showErrorMessage="1" error="Type the # of the row this stage waits for. / सर्वात आधी पूर्ण होणाऱ्या स्टेजचा ओळी क्रमांक लिहा." sqref="D5:D44" xr:uid="{00000000-0002-0000-0100-000002000000}">
      <formula1>1</formula1>
      <formula2>40</formula2>
    </dataValidation>
  </dataValidations>
  <printOptions horizontalCentered="1"/>
  <pageMargins left="0.45" right="0.45" top="0.6" bottom="0.6" header="0.3" footer="0.3"/>
  <pageSetup paperSize="9" scale="51"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Lists!$A$4:$A$10</xm:f>
          </x14:formula1>
          <xm:sqref>B5:B44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
  <sheetViews>
    <sheetView showGridLines="0" workbookViewId="0"/>
  </sheetViews>
  <sheetFormatPr defaultRowHeight="14.4" x14ac:dyDescent="0.3"/>
  <cols>
    <col min="1" max="1" width="24" customWidth="1"/>
    <col min="2" max="2" width="26" customWidth="1"/>
    <col min="3" max="6" width="13" customWidth="1"/>
  </cols>
  <sheetData>
    <row r="1" spans="1:6" ht="52.05" customHeight="1" x14ac:dyDescent="0.3">
      <c r="A1" s="19" t="s">
        <v>70</v>
      </c>
    </row>
    <row r="2" spans="1:6" ht="49.05" customHeight="1" x14ac:dyDescent="0.3">
      <c r="A2" s="24" t="s">
        <v>71</v>
      </c>
      <c r="B2" s="23"/>
    </row>
    <row r="4" spans="1:6" ht="49.05" customHeight="1" x14ac:dyDescent="0.3">
      <c r="A4" s="2" t="s">
        <v>72</v>
      </c>
      <c r="B4" s="20">
        <v>46328</v>
      </c>
    </row>
    <row r="5" spans="1:6" ht="34.049999999999997" customHeight="1" x14ac:dyDescent="0.3">
      <c r="A5" s="2" t="s">
        <v>73</v>
      </c>
      <c r="B5" s="6" t="s">
        <v>74</v>
      </c>
    </row>
    <row r="7" spans="1:6" ht="58.05" customHeight="1" x14ac:dyDescent="0.3">
      <c r="A7" s="21" t="s">
        <v>75</v>
      </c>
      <c r="B7" s="23"/>
      <c r="C7" s="23"/>
      <c r="D7" s="23"/>
      <c r="E7" s="23"/>
      <c r="F7" s="23"/>
    </row>
    <row r="8" spans="1:6" x14ac:dyDescent="0.3">
      <c r="A8" s="23"/>
      <c r="B8" s="23"/>
      <c r="C8" s="23"/>
      <c r="D8" s="23"/>
      <c r="E8" s="23"/>
      <c r="F8" s="23"/>
    </row>
  </sheetData>
  <mergeCells count="2">
    <mergeCell ref="A7:F8"/>
    <mergeCell ref="A2:B2"/>
  </mergeCells>
  <printOptions horizontalCentered="1"/>
  <pageMargins left="0.45" right="0.45" top="0.6" bottom="0.6" header="0.3" footer="0.3"/>
  <pageSetup paperSize="9" scale="92" fitToHeight="0" orientation="portrait" r:id="rId1"/>
  <headerFooter>
    <oddFooter>&amp;L&amp;8Free from NirmanDost - nirmandost.in - sign up for more free tools&amp;R&amp;8Page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0"/>
  <sheetViews>
    <sheetView showGridLines="0" workbookViewId="0"/>
  </sheetViews>
  <sheetFormatPr defaultRowHeight="14.4" x14ac:dyDescent="0.3"/>
  <cols>
    <col min="1" max="3" width="13" customWidth="1"/>
  </cols>
  <sheetData>
    <row r="1" spans="1:3" ht="52.05" customHeight="1" x14ac:dyDescent="0.3">
      <c r="A1" s="19" t="s">
        <v>76</v>
      </c>
    </row>
    <row r="4" spans="1:3" ht="53.55" customHeight="1" x14ac:dyDescent="0.3">
      <c r="A4" s="25" t="s">
        <v>32</v>
      </c>
      <c r="B4" s="23"/>
      <c r="C4" t="s">
        <v>77</v>
      </c>
    </row>
    <row r="5" spans="1:3" ht="37.049999999999997" customHeight="1" x14ac:dyDescent="0.3">
      <c r="A5" s="25" t="s">
        <v>36</v>
      </c>
      <c r="B5" s="23"/>
      <c r="C5" t="s">
        <v>78</v>
      </c>
    </row>
    <row r="6" spans="1:3" ht="20.55" customHeight="1" x14ac:dyDescent="0.3">
      <c r="A6" s="25" t="s">
        <v>41</v>
      </c>
      <c r="B6" s="23"/>
      <c r="C6" t="s">
        <v>79</v>
      </c>
    </row>
    <row r="7" spans="1:3" ht="20.55" customHeight="1" x14ac:dyDescent="0.3">
      <c r="A7" s="25" t="s">
        <v>48</v>
      </c>
      <c r="B7" s="23"/>
      <c r="C7" t="s">
        <v>80</v>
      </c>
    </row>
    <row r="8" spans="1:3" ht="37.049999999999997" customHeight="1" x14ac:dyDescent="0.3">
      <c r="A8" s="25" t="s">
        <v>51</v>
      </c>
      <c r="B8" s="23"/>
      <c r="C8" s="23"/>
    </row>
    <row r="9" spans="1:3" ht="37.049999999999997" customHeight="1" x14ac:dyDescent="0.3">
      <c r="A9" s="25" t="s">
        <v>54</v>
      </c>
      <c r="B9" s="23"/>
      <c r="C9" s="23"/>
    </row>
    <row r="10" spans="1:3" ht="20.55" customHeight="1" x14ac:dyDescent="0.3">
      <c r="A10" s="25" t="s">
        <v>62</v>
      </c>
      <c r="B10" s="23"/>
    </row>
  </sheetData>
  <mergeCells count="7">
    <mergeCell ref="A4:B4"/>
    <mergeCell ref="A7:B7"/>
    <mergeCell ref="A8:C8"/>
    <mergeCell ref="A10:B10"/>
    <mergeCell ref="A5:B5"/>
    <mergeCell ref="A9:C9"/>
    <mergeCell ref="A6:B6"/>
  </mergeCells>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About</vt:lpstr>
      <vt:lpstr>Schedule</vt:lpstr>
      <vt:lpstr>Setup</vt:lpstr>
      <vt:lpstr>Lists</vt:lpstr>
      <vt:lpstr>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2026-10-10T10:30:24Z</cp:lastPrinted>
  <dcterms:created xsi:type="dcterms:W3CDTF">2026-10-10T10:29:28Z</dcterms:created>
  <dcterms:modified xsi:type="dcterms:W3CDTF">2026-10-10T10:30:24Z</dcterms:modified>
</cp:coreProperties>
</file>