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Websites\ND-marketing\_dev\ads\downloads\out\"/>
    </mc:Choice>
  </mc:AlternateContent>
  <xr:revisionPtr revIDLastSave="0" documentId="13_ncr:1_{42580353-9BD7-426D-BA44-014025ECD018}" xr6:coauthVersionLast="47" xr6:coauthVersionMax="47" xr10:uidLastSave="{00000000-0000-0000-0000-000000000000}"/>
  <bookViews>
    <workbookView xWindow="29040" yWindow="150" windowWidth="23010" windowHeight="12210" xr2:uid="{00000000-000D-0000-FFFF-FFFF00000000}"/>
  </bookViews>
  <sheets>
    <sheet name="About" sheetId="1" r:id="rId1"/>
    <sheet name="Converter" sheetId="2" r:id="rId2"/>
    <sheet name="Concrete" sheetId="3" r:id="rId3"/>
    <sheet name="Brickwork and plaster" sheetId="4" r:id="rId4"/>
    <sheet name="Steel" sheetId="5" r:id="rId5"/>
    <sheet name="Water and rain" sheetId="6" r:id="rId6"/>
    <sheet name="Layout" sheetId="7" r:id="rId7"/>
    <sheet name="Source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7" l="1"/>
  <c r="B24" i="7" s="1"/>
  <c r="B16" i="7"/>
  <c r="B13" i="7"/>
  <c r="B7" i="7"/>
  <c r="B25" i="6"/>
  <c r="B18" i="6"/>
  <c r="B15" i="6"/>
  <c r="B8" i="6"/>
  <c r="B22" i="5"/>
  <c r="C22" i="5" s="1"/>
  <c r="D22" i="5" s="1"/>
  <c r="B21" i="5"/>
  <c r="C21" i="5" s="1"/>
  <c r="D21" i="5" s="1"/>
  <c r="B20" i="5"/>
  <c r="C20" i="5" s="1"/>
  <c r="D20" i="5" s="1"/>
  <c r="B19" i="5"/>
  <c r="C19" i="5" s="1"/>
  <c r="D19" i="5" s="1"/>
  <c r="B18" i="5"/>
  <c r="C18" i="5" s="1"/>
  <c r="D18" i="5" s="1"/>
  <c r="B17" i="5"/>
  <c r="C17" i="5" s="1"/>
  <c r="D17" i="5" s="1"/>
  <c r="B16" i="5"/>
  <c r="C16" i="5" s="1"/>
  <c r="D16" i="5" s="1"/>
  <c r="B15" i="5"/>
  <c r="C15" i="5" s="1"/>
  <c r="D15" i="5" s="1"/>
  <c r="B8" i="5"/>
  <c r="B9" i="5" s="1"/>
  <c r="B10" i="5" s="1"/>
  <c r="B11" i="5" s="1"/>
  <c r="B32" i="4"/>
  <c r="B31" i="4"/>
  <c r="B15" i="4"/>
  <c r="B16" i="4" s="1"/>
  <c r="B19" i="3"/>
  <c r="B21" i="3" s="1"/>
  <c r="B18" i="3"/>
  <c r="B20" i="3" s="1"/>
  <c r="B15" i="3"/>
  <c r="B16" i="3" s="1"/>
  <c r="B17" i="3" s="1"/>
  <c r="B50" i="2"/>
  <c r="B49" i="2"/>
  <c r="B48" i="2"/>
  <c r="B42" i="2"/>
  <c r="B41" i="2"/>
  <c r="B40" i="2"/>
  <c r="B39" i="2"/>
  <c r="B33" i="2"/>
  <c r="B32" i="2"/>
  <c r="B31" i="2"/>
  <c r="B30" i="2"/>
  <c r="B24" i="2"/>
  <c r="B23" i="2"/>
  <c r="B22" i="2"/>
  <c r="B21" i="2"/>
  <c r="B20" i="2"/>
  <c r="B19" i="2"/>
  <c r="B18" i="2"/>
  <c r="B12" i="2"/>
  <c r="B11" i="2"/>
  <c r="B10" i="2"/>
  <c r="B9" i="2"/>
  <c r="B8" i="2"/>
  <c r="B7" i="2"/>
  <c r="B19" i="4" l="1"/>
  <c r="B18" i="4"/>
  <c r="B17" i="4"/>
</calcChain>
</file>

<file path=xl/sharedStrings.xml><?xml version="1.0" encoding="utf-8"?>
<sst xmlns="http://schemas.openxmlformats.org/spreadsheetml/2006/main" count="278" uniqueCount="227">
  <si>
    <t>Site calculator and converter</t>
  </si>
  <si>
    <t>NirmanDost - free tools for people who build. v1 - 8 October 2026</t>
  </si>
  <si>
    <t>What this is</t>
  </si>
  <si>
    <t>The site maths in one place: units that change between the drawing, the dealer and the site, and the quantities every house build asks for - concrete, bricks, plaster, steel, water, rain, and a true corner. Type in the sand cells; read the rest.</t>
  </si>
  <si>
    <t>How to use it</t>
  </si>
  <si>
    <t>1. Converter: type a value and pick its unit; the same amount shows in every other unit of that family.</t>
  </si>
  <si>
    <t>2. Concrete: slab or beam size in metres and the mix; you get the volume and the cement, sand and aggregate CPWD counts for it.</t>
  </si>
  <si>
    <t>3. Brickwork and plaster: wall size, thickness and openings; bricks, cement and sand per CPWD's own analysis.</t>
  </si>
  <si>
    <t>4. Steel: bar size, length and count; weight by the D x D / 162 rule, and a table of the usual bars.</t>
  </si>
  <si>
    <t>5. Water and rain: tank size from people and days (IS 1172), tank capacity from its dimensions, rain a roof catches (CGWB runoff).</t>
  </si>
  <si>
    <t>6. Layout: the 3-4-5 corner check and room diagonals.</t>
  </si>
  <si>
    <t>7. Every number that is not yours has its source beside it. Your engineer's mix design and your city's rates win over any figure here.</t>
  </si>
  <si>
    <t>Sheets in this file</t>
  </si>
  <si>
    <t>Converter: length, area (sq ft, gaj, guntha, cent, acre), volume (cum, cft, brass, litre), weight, strength</t>
  </si>
  <si>
    <t>Concrete: volume and materials for nominal 1:1.5:3 concrete and PCC (1:4:8); a ratio does not prove M20 strength</t>
  </si>
  <si>
    <t>Brickwork and plaster: bricks, cement and sand for 230 mm and 115 mm walls; cement and sand for 12 mm and 20 mm plaster</t>
  </si>
  <si>
    <t>Steel: bar weight from diameter, length and count</t>
  </si>
  <si>
    <t>Water and rain: tank sizing, tank capacity, rainwater yield</t>
  </si>
  <si>
    <t>Layout: 3-4-5 corner check, room diagonals</t>
  </si>
  <si>
    <t>Sources: where every figure comes from</t>
  </si>
  <si>
    <t>Legend</t>
  </si>
  <si>
    <t>Sand-coloured cells are yours to type in. Everything else works out by itself. Do not type over a formula.</t>
  </si>
  <si>
    <t>Sources</t>
  </si>
  <si>
    <t>CPWD Analysis of Rates (DAR) 2021, Vol. I (Delhi base). Full working at nirmandost.in/dsr. Water: IS 1172 / NBC 2016 Part 9 Section 1 (135 litres per person per day). Rain: CGWB design note, runoff 0.85 for a concrete roof. Steel: 7,850 kg per cubic metre, hence D x D / 162 kg per metre. Units: by definition.</t>
  </si>
  <si>
    <t>Free, and more</t>
  </si>
  <si>
    <t>This file is free. Sign up at nirmandost.in (phone number, one-time code) for the rest of the set, the BOQ calculator and the Site Planner.</t>
  </si>
  <si>
    <t>Made by NirmanDost, Ahmedabad. It is a working tool, not professional advice: your engineer, your accountant and your contract decide. Report a problem at nirmandost.in.</t>
  </si>
  <si>
    <t>Converter</t>
  </si>
  <si>
    <t>Type a value, pick its unit. Every other unit of the family updates.</t>
  </si>
  <si>
    <t>Length</t>
  </si>
  <si>
    <t>Factor to m</t>
  </si>
  <si>
    <t>Value</t>
  </si>
  <si>
    <t>millimetre (mm)</t>
  </si>
  <si>
    <t>Unit</t>
  </si>
  <si>
    <t>centimetre (cm)</t>
  </si>
  <si>
    <t>metre (m)</t>
  </si>
  <si>
    <t>inch</t>
  </si>
  <si>
    <t>foot (ft)</t>
  </si>
  <si>
    <t>yard</t>
  </si>
  <si>
    <t>Area</t>
  </si>
  <si>
    <t>Factor to sq m</t>
  </si>
  <si>
    <t>square metre (sq m)</t>
  </si>
  <si>
    <t>square foot (sq ft)</t>
  </si>
  <si>
    <t>square yard / gaj</t>
  </si>
  <si>
    <t>guntha (1/40 acre)</t>
  </si>
  <si>
    <t>cent (1/100 acre)</t>
  </si>
  <si>
    <t>acre</t>
  </si>
  <si>
    <t>hectare</t>
  </si>
  <si>
    <t>Volume</t>
  </si>
  <si>
    <t>Factor to cum</t>
  </si>
  <si>
    <t>cubic metre (cum)</t>
  </si>
  <si>
    <t>cubic foot (cft)</t>
  </si>
  <si>
    <t>brass (100 cft)</t>
  </si>
  <si>
    <t>litre</t>
  </si>
  <si>
    <t>Weight</t>
  </si>
  <si>
    <t>Factor to kg</t>
  </si>
  <si>
    <t>kilogram (kg)</t>
  </si>
  <si>
    <t>quintal (100 kg)</t>
  </si>
  <si>
    <t>tonne (1,000 kg)</t>
  </si>
  <si>
    <t>cement bag (50 kg)</t>
  </si>
  <si>
    <t>Strength</t>
  </si>
  <si>
    <t>Factor to N/mm2</t>
  </si>
  <si>
    <t>N/mm2 (= MPa)</t>
  </si>
  <si>
    <t>kg/cm2</t>
  </si>
  <si>
    <t>psi</t>
  </si>
  <si>
    <t>Units by definition: 1 ft = 0.3048 m; 1 sq ft = 0.09290304 sq m; 1 gaj (sq yard) = 9 sq ft; 1 acre = 43,560 sq ft; 1 guntha = 1/40 acre; 1 cent = 1/100 acre; 1 cft = 0.028316846592 cum; 1 brass = 100 cft; 1 N/mm2 = 1 MPa = 10.197 kg/cm2 = 145.04 psi. Bigha has no fixed size: go by the land record.</t>
  </si>
  <si>
    <t>Concrete</t>
  </si>
  <si>
    <t>Volume in cubic metres, then the materials CPWD counts per cubic metre.</t>
  </si>
  <si>
    <t>Length (m)</t>
  </si>
  <si>
    <t>Breadth (m)</t>
  </si>
  <si>
    <t>Thickness or depth (m)</t>
  </si>
  <si>
    <t>125 mm is 0.125 m. Everything in metres.</t>
  </si>
  <si>
    <t>Mix</t>
  </si>
  <si>
    <t>1:1.5:3 nominal</t>
  </si>
  <si>
    <t>Per cubic metre</t>
  </si>
  <si>
    <t>PCC (1:4:8)</t>
  </si>
  <si>
    <t>Source</t>
  </si>
  <si>
    <t>Cement, bags of 50 kg</t>
  </si>
  <si>
    <t>CPWD DAR 2021 items 5.1.2 (M20) and 4.1.8 (PCC)</t>
  </si>
  <si>
    <t>Coarse sand, cum</t>
  </si>
  <si>
    <t>1:1.5:3: 20 mm and 10 mm; PCC: 40 mm and 20 mm</t>
  </si>
  <si>
    <t>Stone aggregate, cum</t>
  </si>
  <si>
    <t>nirmandost.in/dsr/rcc-m20.html</t>
  </si>
  <si>
    <t>Volume (cum)</t>
  </si>
  <si>
    <t>Nominal mix, as CPWD prices it. If your engineer gave a design mix, follow that. Order a little extra for wastage; the figure is yours.</t>
  </si>
  <si>
    <t>Cement (bags)</t>
  </si>
  <si>
    <t>Cement (tonnes)</t>
  </si>
  <si>
    <t>Coarse sand (cum)</t>
  </si>
  <si>
    <t>Stone aggregate (cum)</t>
  </si>
  <si>
    <t>Sand (cft)</t>
  </si>
  <si>
    <t>Aggregate (cft)</t>
  </si>
  <si>
    <t>Brickwork and plaster</t>
  </si>
  <si>
    <t>Wall size in metres, openings taken out, materials per CPWD's analysis.</t>
  </si>
  <si>
    <t>Wall length (m)</t>
  </si>
  <si>
    <t>Wall height (m)</t>
  </si>
  <si>
    <t>Openings to deduct (sq m)</t>
  </si>
  <si>
    <t>Wall</t>
  </si>
  <si>
    <t>230 mm (full brick)</t>
  </si>
  <si>
    <t>Per unit of wall</t>
  </si>
  <si>
    <t>230 mm, per cum</t>
  </si>
  <si>
    <t>115 mm, per sq m</t>
  </si>
  <si>
    <t>Bricks (class 7.5, F.P.S.)</t>
  </si>
  <si>
    <t>CPWD DAR 2021 items 6.4.1 and 6.13.1</t>
  </si>
  <si>
    <t>1:4 mortar (230 mm), 1:3 mortar (115 mm)</t>
  </si>
  <si>
    <t>nirmandost.in/dsr/230mm-brick-wall.html</t>
  </si>
  <si>
    <t>Net wall area (sq m)</t>
  </si>
  <si>
    <t>494 bricks per cubic metre of 230 mm wall; 56.5 bricks per square metre of 115 mm wall. Breakage is not included; the extra you order is your call.</t>
  </si>
  <si>
    <t>Wall volume (cum)</t>
  </si>
  <si>
    <t>Bricks</t>
  </si>
  <si>
    <t>Plaster</t>
  </si>
  <si>
    <t>Plaster area (sq m)</t>
  </si>
  <si>
    <t>Inside 12 mm</t>
  </si>
  <si>
    <t>Per square metre</t>
  </si>
  <si>
    <t>Inside, 12 mm (1:4)</t>
  </si>
  <si>
    <t>Outside, 20 mm (1:4)</t>
  </si>
  <si>
    <t>CPWD DAR 2021 items 13.1.1 and 13.6.1</t>
  </si>
  <si>
    <t>Sand, cum</t>
  </si>
  <si>
    <t>fine sand inside, coarse sand outside</t>
  </si>
  <si>
    <t>Sand (cum)</t>
  </si>
  <si>
    <t>Steel</t>
  </si>
  <si>
    <t>Weight per metre = D x D / 162, D in mm. Steel is sold by weight, so this checks any delivery.</t>
  </si>
  <si>
    <t>Bar diameter (mm)</t>
  </si>
  <si>
    <t>Length of one bar (m)</t>
  </si>
  <si>
    <t>Number of bars</t>
  </si>
  <si>
    <t>Weight per metre (kg)</t>
  </si>
  <si>
    <t>One bar (kg)</t>
  </si>
  <si>
    <t>All bars (kg)</t>
  </si>
  <si>
    <t>All bars (tonnes)</t>
  </si>
  <si>
    <t>Bar</t>
  </si>
  <si>
    <t>kg per metre</t>
  </si>
  <si>
    <t>One 12 m bar (kg)</t>
  </si>
  <si>
    <t>Bars per tonne (12 m)</t>
  </si>
  <si>
    <t>6 mm</t>
  </si>
  <si>
    <t>8 mm</t>
  </si>
  <si>
    <t>10 mm</t>
  </si>
  <si>
    <t>12 mm</t>
  </si>
  <si>
    <t>16 mm</t>
  </si>
  <si>
    <t>20 mm</t>
  </si>
  <si>
    <t>25 mm</t>
  </si>
  <si>
    <t>32 mm</t>
  </si>
  <si>
    <t>Steel weighs 7,850 kg per cubic metre; for a round bar that works out to D x D / 162 kg per metre. Standard bars come in 12 m lengths. Count the bars, weigh one metre, compare.</t>
  </si>
  <si>
    <t>Water and rain</t>
  </si>
  <si>
    <t>Tank size, tank capacity, and the rain a roof can catch.</t>
  </si>
  <si>
    <t>How big a tank?</t>
  </si>
  <si>
    <t>People in the house</t>
  </si>
  <si>
    <t>Litres per person per day</t>
  </si>
  <si>
    <t>135 litres a person a day for a house with full flushing: IS 1172 and NBC 2016 Part 9 Section 1. Buy the next tank size up.</t>
  </si>
  <si>
    <t>Days of storage wanted</t>
  </si>
  <si>
    <t>Tank needed (litres)</t>
  </si>
  <si>
    <t>What a tank holds</t>
  </si>
  <si>
    <t>1 cubic metre = 1,000 litres. Measure the inside faces.</t>
  </si>
  <si>
    <t>Width (m)</t>
  </si>
  <si>
    <t>Height (m)</t>
  </si>
  <si>
    <t>Rectangular tank (litres)</t>
  </si>
  <si>
    <t>Round tank: diameter (m)</t>
  </si>
  <si>
    <t>Round tank: height (m)</t>
  </si>
  <si>
    <t>Round tank (litres)</t>
  </si>
  <si>
    <t>Rain your roof catches</t>
  </si>
  <si>
    <t>Roof area (sq m)</t>
  </si>
  <si>
    <t>1 mm of rain on 1 sq m is 1 litre. Runoff 0.85 for a concrete roof: CGWB design note. 764 mm is Ahmedabad's long-term average; type your own city's figure.</t>
  </si>
  <si>
    <t>Yearly rainfall (mm)</t>
  </si>
  <si>
    <t>Runoff share</t>
  </si>
  <si>
    <t>Rain caught in a year (litres)</t>
  </si>
  <si>
    <t>Layout checks</t>
  </si>
  <si>
    <t>A true corner and a square room, with a tape.</t>
  </si>
  <si>
    <t>Corner check (3-4-5)</t>
  </si>
  <si>
    <t>Mark along wall 1 (any unit)</t>
  </si>
  <si>
    <t>3 and 4 give 5; 6 and 8 give 10. If the tape reads anything else between the two marks, the corner is not square.</t>
  </si>
  <si>
    <t>Mark along wall 2 (same unit)</t>
  </si>
  <si>
    <t>The diagonal must measure</t>
  </si>
  <si>
    <t>Room diagonals</t>
  </si>
  <si>
    <t>Room length</t>
  </si>
  <si>
    <t>With opposite walls equal, both diagonals equal to the computed figure means every corner is true. The verdict allows 2 per cent for the tape.</t>
  </si>
  <si>
    <t>Room width</t>
  </si>
  <si>
    <t>Each diagonal should be</t>
  </si>
  <si>
    <t>Measured diagonal 1</t>
  </si>
  <si>
    <t>Measured diagonal 2</t>
  </si>
  <si>
    <t>Verdict</t>
  </si>
  <si>
    <t>Excavation</t>
  </si>
  <si>
    <t>Trench length (m)</t>
  </si>
  <si>
    <t>0.2 labourer-days per cubic metre, trench up to 1.5 m deep, any soil, spoil within 50 m: CPWD DAR 2021 item 2.8.1. Rock and water change everything.</t>
  </si>
  <si>
    <t>Trench width (m)</t>
  </si>
  <si>
    <t>Trench depth (m)</t>
  </si>
  <si>
    <t>Volume to dig (cum)</t>
  </si>
  <si>
    <t>Labour days CPWD allows</t>
  </si>
  <si>
    <t>Every figure that is not yours, and where it comes from.</t>
  </si>
  <si>
    <t>Figure</t>
  </si>
  <si>
    <t>Cement per cum of nominal 1:1.5:3 concrete</t>
  </si>
  <si>
    <t>8 bags</t>
  </si>
  <si>
    <t>CPWD Analysis of Rates (DAR) 2021, Vol. I, item 5.1.2; nirmandost.in/dsr/rcc-m20.html</t>
  </si>
  <si>
    <t>Sand and aggregate per cum of nominal 1:1.5:3 concrete</t>
  </si>
  <si>
    <t>0.425 cum, 0.85 cum</t>
  </si>
  <si>
    <t>CPWD DAR 2021, item 5.1.2</t>
  </si>
  <si>
    <t>Cement, sand, aggregate per cum of PCC 1:4:8</t>
  </si>
  <si>
    <t>3.4 bags, 0.47 cum, 0.89 cum</t>
  </si>
  <si>
    <t>CPWD DAR 2021, item 4.1.8</t>
  </si>
  <si>
    <t>Bricks, cement, sand per cum of 230 mm wall</t>
  </si>
  <si>
    <t>494, 1.9 bags, 0.2675 cum</t>
  </si>
  <si>
    <t>CPWD DAR 2021, item 6.4.1 (1:4 mortar); nirmandost.in/dsr/230mm-brick-wall.html</t>
  </si>
  <si>
    <t>Bricks, cement, sand per sq m of 115 mm wall</t>
  </si>
  <si>
    <t>56.5, 0.29 bags, 0.03 cum</t>
  </si>
  <si>
    <t>CPWD DAR 2021, item 6.13.1 (1:3 mortar)</t>
  </si>
  <si>
    <t>Cement, sand per sq m of 12 mm inside plaster</t>
  </si>
  <si>
    <t>0.11 bags, 0.0154 cum</t>
  </si>
  <si>
    <t>CPWD DAR 2021, item 13.1.1 (1:4)</t>
  </si>
  <si>
    <t>Cement, sand per sq m of 20 mm outside plaster</t>
  </si>
  <si>
    <t>0.17 bags, 0.024 cum</t>
  </si>
  <si>
    <t>CPWD DAR 2021, item 13.6.1 (1:4)</t>
  </si>
  <si>
    <t>Steel weight per metre</t>
  </si>
  <si>
    <t>D x D / 162 kg</t>
  </si>
  <si>
    <t>IS 1786:2008 cl. 6.2 and Table 1 (nominal mass); D x D / 162 is a rounded formula</t>
  </si>
  <si>
    <t>Water per person per day</t>
  </si>
  <si>
    <t>135 litres</t>
  </si>
  <si>
    <t>IS 1172; NBC 2016 Part 9 Section 1</t>
  </si>
  <si>
    <t>Runoff share, concrete roof</t>
  </si>
  <si>
    <t>0.85</t>
  </si>
  <si>
    <t>CGWB (Central Ground Water Board) design note</t>
  </si>
  <si>
    <t>Ahmedabad yearly rainfall</t>
  </si>
  <si>
    <t>about 764 mm</t>
  </si>
  <si>
    <t>long-term average; use your own city's figure</t>
  </si>
  <si>
    <t>Labour per cum of trench</t>
  </si>
  <si>
    <t>0.2 labourer-days</t>
  </si>
  <si>
    <t>CPWD DAR 2021, item 2.8.1</t>
  </si>
  <si>
    <t>Unit factors</t>
  </si>
  <si>
    <t>by definition</t>
  </si>
  <si>
    <t>1 ft = 0.3048 m; 1 acre = 43,560 sq ft; 1 guntha = 1/40 acre; 1 cent = 1/100 acre; 1 cft = 0.028316846592 cum; 1 N/mm2 = 10.197 kg/cm2</t>
  </si>
  <si>
    <t>CPWD rates are Delhi base rates and the quantities are CPWD's nominal ones. Your engineer's mix design and your city's rates take precedence.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</si>
</sst>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##"/>
    <numFmt numFmtId="165" formatCode="0.000"/>
    <numFmt numFmtId="166" formatCode="0.0"/>
    <numFmt numFmtId="167" formatCode="#,##0.0"/>
  </numFmts>
  <fonts count="12" x14ac:knownFonts="1">
    <font>
      <sz val="11"/>
      <color theme="1"/>
      <name val="Calibri"/>
      <family val="2"/>
      <scheme val="minor"/>
    </font>
    <font>
      <b/>
      <sz val="18"/>
      <color rgb="FFC0480C"/>
      <name val="Arial"/>
    </font>
    <font>
      <sz val="10"/>
      <color rgb="FF6B5D52"/>
      <name val="Arial"/>
    </font>
    <font>
      <b/>
      <sz val="10"/>
      <color rgb="FF1C1108"/>
      <name val="Arial"/>
    </font>
    <font>
      <sz val="10"/>
      <color rgb="FF1C1108"/>
      <name val="Arial"/>
    </font>
    <font>
      <sz val="9"/>
      <color rgb="FF6B5D52"/>
      <name val="Arial"/>
    </font>
    <font>
      <i/>
      <sz val="9"/>
      <color rgb="FF6B5D52"/>
      <name val="Arial"/>
    </font>
    <font>
      <b/>
      <sz val="16"/>
      <color rgb="FFC0480C"/>
      <name val="Arial"/>
    </font>
    <font>
      <b/>
      <sz val="12"/>
      <color rgb="FFC0480C"/>
      <name val="Arial"/>
    </font>
    <font>
      <sz val="8"/>
      <color rgb="FF6B5D52"/>
      <name val="Arial"/>
    </font>
    <font>
      <b/>
      <sz val="11"/>
      <color rgb="FF1C1108"/>
      <name val="Arial"/>
    </font>
    <font>
      <b/>
      <sz val="11"/>
      <color rgb="FF2F6F5E"/>
      <name val="Arial"/>
    </font>
  </fonts>
  <fills count="4">
    <fill>
      <patternFill patternType="none"/>
    </fill>
    <fill>
      <patternFill patternType="gray125"/>
    </fill>
    <fill>
      <patternFill patternType="solid">
        <fgColor rgb="FFEADFCE"/>
      </patternFill>
    </fill>
    <fill>
      <patternFill patternType="solid">
        <fgColor rgb="FFF9F5F0"/>
      </patternFill>
    </fill>
  </fills>
  <borders count="3">
    <border>
      <left/>
      <right/>
      <top/>
      <bottom/>
      <diagonal/>
    </border>
    <border>
      <left style="thin">
        <color rgb="FFD9CBB8"/>
      </left>
      <right style="thin">
        <color rgb="FFD9CBB8"/>
      </right>
      <top style="thin">
        <color rgb="FFD9CBB8"/>
      </top>
      <bottom style="thin">
        <color rgb="FFD9CBB8"/>
      </bottom>
      <diagonal/>
    </border>
    <border>
      <left/>
      <right style="thin">
        <color rgb="FFD9CBB8"/>
      </right>
      <top style="thin">
        <color rgb="FFD9CBB8"/>
      </top>
      <bottom style="thin">
        <color rgb="FFD9CBB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4" fillId="2" borderId="1" xfId="0" applyNumberFormat="1" applyFont="1" applyFill="1" applyBorder="1"/>
    <xf numFmtId="0" fontId="9" fillId="0" borderId="0" xfId="0" applyFont="1"/>
    <xf numFmtId="0" fontId="4" fillId="2" borderId="1" xfId="0" applyFont="1" applyFill="1" applyBorder="1"/>
    <xf numFmtId="0" fontId="4" fillId="0" borderId="1" xfId="0" applyFont="1" applyBorder="1"/>
    <xf numFmtId="164" fontId="3" fillId="0" borderId="1" xfId="0" applyNumberFormat="1" applyFont="1" applyBorder="1"/>
    <xf numFmtId="2" fontId="4" fillId="2" borderId="1" xfId="0" applyNumberFormat="1" applyFont="1" applyFill="1" applyBorder="1"/>
    <xf numFmtId="165" fontId="4" fillId="2" borderId="1" xfId="0" applyNumberFormat="1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 applyAlignment="1">
      <alignment vertical="top"/>
    </xf>
    <xf numFmtId="165" fontId="10" fillId="0" borderId="1" xfId="0" applyNumberFormat="1" applyFont="1" applyBorder="1"/>
    <xf numFmtId="166" fontId="10" fillId="0" borderId="1" xfId="0" applyNumberFormat="1" applyFont="1" applyBorder="1"/>
    <xf numFmtId="2" fontId="10" fillId="0" borderId="1" xfId="0" applyNumberFormat="1" applyFont="1" applyBorder="1"/>
    <xf numFmtId="3" fontId="10" fillId="0" borderId="1" xfId="0" applyNumberFormat="1" applyFont="1" applyBorder="1"/>
    <xf numFmtId="1" fontId="4" fillId="2" borderId="1" xfId="0" applyNumberFormat="1" applyFont="1" applyFill="1" applyBorder="1"/>
    <xf numFmtId="167" fontId="10" fillId="0" borderId="1" xfId="0" applyNumberFormat="1" applyFont="1" applyBorder="1"/>
    <xf numFmtId="165" fontId="4" fillId="0" borderId="1" xfId="0" applyNumberFormat="1" applyFont="1" applyBorder="1"/>
    <xf numFmtId="2" fontId="4" fillId="0" borderId="1" xfId="0" applyNumberFormat="1" applyFont="1" applyBorder="1"/>
    <xf numFmtId="166" fontId="4" fillId="0" borderId="1" xfId="0" applyNumberFormat="1" applyFont="1" applyBorder="1"/>
    <xf numFmtId="0" fontId="3" fillId="0" borderId="1" xfId="0" applyFont="1" applyBorder="1" applyAlignment="1">
      <alignment vertical="top"/>
    </xf>
    <xf numFmtId="166" fontId="4" fillId="2" borderId="1" xfId="0" applyNumberFormat="1" applyFont="1" applyFill="1" applyBorder="1"/>
    <xf numFmtId="0" fontId="11" fillId="0" borderId="1" xfId="0" applyFont="1" applyBorder="1"/>
    <xf numFmtId="0" fontId="4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2" borderId="1" xfId="0" applyFont="1" applyFill="1" applyBorder="1"/>
    <xf numFmtId="0" fontId="0" fillId="0" borderId="2" xfId="0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85800" cy="685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31"/>
  <sheetViews>
    <sheetView showGridLines="0" tabSelected="1" workbookViewId="0"/>
  </sheetViews>
  <sheetFormatPr defaultRowHeight="14.4" x14ac:dyDescent="0.3"/>
  <cols>
    <col min="1" max="1" width="3" customWidth="1"/>
    <col min="2" max="2" width="22" customWidth="1"/>
    <col min="3" max="3" width="70" customWidth="1"/>
  </cols>
  <sheetData>
    <row r="2" spans="2:3" ht="19.95" customHeight="1" x14ac:dyDescent="0.3"/>
    <row r="3" spans="2:3" ht="19.95" customHeight="1" x14ac:dyDescent="0.4">
      <c r="C3" s="1" t="s">
        <v>0</v>
      </c>
    </row>
    <row r="4" spans="2:3" ht="19.95" customHeight="1" x14ac:dyDescent="0.3">
      <c r="C4" s="2" t="s">
        <v>1</v>
      </c>
    </row>
    <row r="7" spans="2:3" ht="45" customHeight="1" x14ac:dyDescent="0.3">
      <c r="B7" s="3" t="s">
        <v>2</v>
      </c>
      <c r="C7" s="4" t="s">
        <v>3</v>
      </c>
    </row>
    <row r="9" spans="2:3" ht="30" customHeight="1" x14ac:dyDescent="0.3">
      <c r="B9" s="3" t="s">
        <v>4</v>
      </c>
      <c r="C9" s="4" t="s">
        <v>5</v>
      </c>
    </row>
    <row r="10" spans="2:3" ht="30" customHeight="1" x14ac:dyDescent="0.3">
      <c r="C10" s="4" t="s">
        <v>6</v>
      </c>
    </row>
    <row r="11" spans="2:3" ht="30" customHeight="1" x14ac:dyDescent="0.3">
      <c r="C11" s="4" t="s">
        <v>7</v>
      </c>
    </row>
    <row r="12" spans="2:3" ht="30" customHeight="1" x14ac:dyDescent="0.3">
      <c r="C12" s="4" t="s">
        <v>8</v>
      </c>
    </row>
    <row r="13" spans="2:3" ht="30" customHeight="1" x14ac:dyDescent="0.3">
      <c r="C13" s="4" t="s">
        <v>9</v>
      </c>
    </row>
    <row r="14" spans="2:3" ht="15" customHeight="1" x14ac:dyDescent="0.3">
      <c r="C14" s="4" t="s">
        <v>10</v>
      </c>
    </row>
    <row r="15" spans="2:3" ht="30" customHeight="1" x14ac:dyDescent="0.3">
      <c r="C15" s="4" t="s">
        <v>11</v>
      </c>
    </row>
    <row r="17" spans="2:3" ht="30" customHeight="1" x14ac:dyDescent="0.3">
      <c r="B17" s="3" t="s">
        <v>12</v>
      </c>
      <c r="C17" s="4" t="s">
        <v>13</v>
      </c>
    </row>
    <row r="18" spans="2:3" ht="30" customHeight="1" x14ac:dyDescent="0.3">
      <c r="B18" s="5"/>
      <c r="C18" s="4" t="s">
        <v>14</v>
      </c>
    </row>
    <row r="19" spans="2:3" ht="30" customHeight="1" x14ac:dyDescent="0.3">
      <c r="B19" s="5"/>
      <c r="C19" s="4" t="s">
        <v>15</v>
      </c>
    </row>
    <row r="20" spans="2:3" ht="15" customHeight="1" x14ac:dyDescent="0.3">
      <c r="B20" s="5"/>
      <c r="C20" s="4" t="s">
        <v>16</v>
      </c>
    </row>
    <row r="21" spans="2:3" ht="15" customHeight="1" x14ac:dyDescent="0.3">
      <c r="B21" s="5"/>
      <c r="C21" s="4" t="s">
        <v>17</v>
      </c>
    </row>
    <row r="22" spans="2:3" ht="15" customHeight="1" x14ac:dyDescent="0.3">
      <c r="B22" s="5"/>
      <c r="C22" s="4" t="s">
        <v>18</v>
      </c>
    </row>
    <row r="23" spans="2:3" ht="15" customHeight="1" x14ac:dyDescent="0.3">
      <c r="B23" s="5"/>
      <c r="C23" s="4" t="s">
        <v>19</v>
      </c>
    </row>
    <row r="25" spans="2:3" ht="30" customHeight="1" x14ac:dyDescent="0.3">
      <c r="B25" s="3" t="s">
        <v>20</v>
      </c>
      <c r="C25" s="6" t="s">
        <v>21</v>
      </c>
    </row>
    <row r="27" spans="2:3" ht="52.05" customHeight="1" x14ac:dyDescent="0.3">
      <c r="B27" s="3" t="s">
        <v>22</v>
      </c>
      <c r="C27" s="7" t="s">
        <v>23</v>
      </c>
    </row>
    <row r="29" spans="2:3" ht="30" customHeight="1" x14ac:dyDescent="0.3">
      <c r="B29" s="3" t="s">
        <v>24</v>
      </c>
      <c r="C29" s="4" t="s">
        <v>25</v>
      </c>
    </row>
    <row r="31" spans="2:3" ht="30" customHeight="1" x14ac:dyDescent="0.3">
      <c r="C31" s="35" t="s">
        <v>26</v>
      </c>
    </row>
  </sheetData>
  <mergeCells count="1">
    <mergeCell ref="C31"/>
  </mergeCells>
  <printOptions horizontalCentered="1"/>
  <pageMargins left="0.45" right="0.45" top="0.6" bottom="0.6" header="0.3" footer="0.3"/>
  <pageSetup paperSize="9" scale="98" orientation="portrait" r:id="rId1"/>
  <headerFooter>
    <oddFooter>&amp;L&amp;8Free from NirmanDost - nirmandost.in - sign up for more free tools&amp;R&amp;8Page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4"/>
  <sheetViews>
    <sheetView showGridLines="0" workbookViewId="0"/>
  </sheetViews>
  <sheetFormatPr defaultRowHeight="14.4" x14ac:dyDescent="0.3"/>
  <cols>
    <col min="1" max="1" width="30" customWidth="1"/>
    <col min="2" max="2" width="18" customWidth="1"/>
    <col min="3" max="3" width="26" customWidth="1"/>
    <col min="5" max="5" width="30" customWidth="1"/>
    <col min="6" max="6" width="16" customWidth="1"/>
  </cols>
  <sheetData>
    <row r="1" spans="1:6" ht="21" x14ac:dyDescent="0.4">
      <c r="A1" s="8" t="s">
        <v>27</v>
      </c>
    </row>
    <row r="2" spans="1:6" x14ac:dyDescent="0.3">
      <c r="A2" s="2" t="s">
        <v>28</v>
      </c>
    </row>
    <row r="4" spans="1:6" ht="15.6" x14ac:dyDescent="0.3">
      <c r="A4" s="9" t="s">
        <v>29</v>
      </c>
      <c r="E4" s="10" t="s">
        <v>30</v>
      </c>
    </row>
    <row r="5" spans="1:6" x14ac:dyDescent="0.3">
      <c r="A5" s="11" t="s">
        <v>31</v>
      </c>
      <c r="B5" s="12">
        <v>1</v>
      </c>
      <c r="E5" s="13" t="s">
        <v>32</v>
      </c>
      <c r="F5" s="13">
        <v>1E-3</v>
      </c>
    </row>
    <row r="6" spans="1:6" x14ac:dyDescent="0.3">
      <c r="A6" s="11" t="s">
        <v>33</v>
      </c>
      <c r="B6" s="36" t="s">
        <v>32</v>
      </c>
      <c r="C6" s="37"/>
      <c r="E6" s="13" t="s">
        <v>34</v>
      </c>
      <c r="F6" s="13">
        <v>0.01</v>
      </c>
    </row>
    <row r="7" spans="1:6" x14ac:dyDescent="0.3">
      <c r="A7" s="15" t="s">
        <v>32</v>
      </c>
      <c r="B7" s="16">
        <f t="shared" ref="B7:B12" si="0">IF($B$5="","",$B$5*INDEX($F$5:$F$10,MATCH($B$6,$E$5:$E$10,0))/F5)</f>
        <v>1</v>
      </c>
      <c r="E7" s="13" t="s">
        <v>35</v>
      </c>
      <c r="F7" s="13">
        <v>1</v>
      </c>
    </row>
    <row r="8" spans="1:6" x14ac:dyDescent="0.3">
      <c r="A8" s="15" t="s">
        <v>34</v>
      </c>
      <c r="B8" s="16">
        <f t="shared" si="0"/>
        <v>0.1</v>
      </c>
      <c r="E8" s="13" t="s">
        <v>36</v>
      </c>
      <c r="F8" s="13">
        <v>2.5399999999999999E-2</v>
      </c>
    </row>
    <row r="9" spans="1:6" x14ac:dyDescent="0.3">
      <c r="A9" s="15" t="s">
        <v>35</v>
      </c>
      <c r="B9" s="16">
        <f t="shared" si="0"/>
        <v>1E-3</v>
      </c>
      <c r="E9" s="13" t="s">
        <v>37</v>
      </c>
      <c r="F9" s="13">
        <v>0.30480000000000002</v>
      </c>
    </row>
    <row r="10" spans="1:6" x14ac:dyDescent="0.3">
      <c r="A10" s="15" t="s">
        <v>36</v>
      </c>
      <c r="B10" s="16">
        <f t="shared" si="0"/>
        <v>3.937007874015748E-2</v>
      </c>
      <c r="E10" s="13" t="s">
        <v>38</v>
      </c>
      <c r="F10" s="13">
        <v>0.91439999999999999</v>
      </c>
    </row>
    <row r="11" spans="1:6" x14ac:dyDescent="0.3">
      <c r="A11" s="15" t="s">
        <v>37</v>
      </c>
      <c r="B11" s="16">
        <f t="shared" si="0"/>
        <v>3.2808398950131233E-3</v>
      </c>
    </row>
    <row r="12" spans="1:6" x14ac:dyDescent="0.3">
      <c r="A12" s="15" t="s">
        <v>38</v>
      </c>
      <c r="B12" s="16">
        <f t="shared" si="0"/>
        <v>1.0936132983377078E-3</v>
      </c>
    </row>
    <row r="15" spans="1:6" ht="15.6" x14ac:dyDescent="0.3">
      <c r="A15" s="9" t="s">
        <v>39</v>
      </c>
      <c r="E15" s="10" t="s">
        <v>40</v>
      </c>
    </row>
    <row r="16" spans="1:6" x14ac:dyDescent="0.3">
      <c r="A16" s="11" t="s">
        <v>31</v>
      </c>
      <c r="B16" s="12">
        <v>1</v>
      </c>
      <c r="E16" s="13" t="s">
        <v>41</v>
      </c>
      <c r="F16" s="13">
        <v>1</v>
      </c>
    </row>
    <row r="17" spans="1:6" x14ac:dyDescent="0.3">
      <c r="A17" s="11" t="s">
        <v>33</v>
      </c>
      <c r="B17" s="36" t="s">
        <v>41</v>
      </c>
      <c r="C17" s="37"/>
      <c r="E17" s="13" t="s">
        <v>42</v>
      </c>
      <c r="F17" s="13">
        <v>9.2903040000000006E-2</v>
      </c>
    </row>
    <row r="18" spans="1:6" x14ac:dyDescent="0.3">
      <c r="A18" s="15" t="s">
        <v>41</v>
      </c>
      <c r="B18" s="16">
        <f t="shared" ref="B18:B24" si="1">IF($B$16="","",$B$16*INDEX($F$16:$F$22,MATCH($B$17,$E$16:$E$22,0))/F16)</f>
        <v>1</v>
      </c>
      <c r="E18" s="13" t="s">
        <v>43</v>
      </c>
      <c r="F18" s="13">
        <v>0.83612735999999999</v>
      </c>
    </row>
    <row r="19" spans="1:6" x14ac:dyDescent="0.3">
      <c r="A19" s="15" t="s">
        <v>42</v>
      </c>
      <c r="B19" s="16">
        <f t="shared" si="1"/>
        <v>10.763910416709722</v>
      </c>
      <c r="E19" s="13" t="s">
        <v>44</v>
      </c>
      <c r="F19" s="13">
        <v>101.17141056</v>
      </c>
    </row>
    <row r="20" spans="1:6" x14ac:dyDescent="0.3">
      <c r="A20" s="15" t="s">
        <v>43</v>
      </c>
      <c r="B20" s="16">
        <f t="shared" si="1"/>
        <v>1.1959900463010802</v>
      </c>
      <c r="E20" s="13" t="s">
        <v>45</v>
      </c>
      <c r="F20" s="13">
        <v>40.468564223999998</v>
      </c>
    </row>
    <row r="21" spans="1:6" x14ac:dyDescent="0.3">
      <c r="A21" s="15" t="s">
        <v>44</v>
      </c>
      <c r="B21" s="16">
        <f t="shared" si="1"/>
        <v>9.8842152586866138E-3</v>
      </c>
      <c r="E21" s="13" t="s">
        <v>46</v>
      </c>
      <c r="F21" s="13">
        <v>4046.8564224000002</v>
      </c>
    </row>
    <row r="22" spans="1:6" x14ac:dyDescent="0.3">
      <c r="A22" s="15" t="s">
        <v>45</v>
      </c>
      <c r="B22" s="16">
        <f t="shared" si="1"/>
        <v>2.4710538146716535E-2</v>
      </c>
      <c r="E22" s="13" t="s">
        <v>47</v>
      </c>
      <c r="F22" s="13">
        <v>10000</v>
      </c>
    </row>
    <row r="23" spans="1:6" x14ac:dyDescent="0.3">
      <c r="A23" s="15" t="s">
        <v>46</v>
      </c>
      <c r="B23" s="16">
        <f t="shared" si="1"/>
        <v>2.4710538146716532E-4</v>
      </c>
    </row>
    <row r="24" spans="1:6" x14ac:dyDescent="0.3">
      <c r="A24" s="15" t="s">
        <v>47</v>
      </c>
      <c r="B24" s="16">
        <f t="shared" si="1"/>
        <v>1E-4</v>
      </c>
    </row>
    <row r="27" spans="1:6" ht="15.6" x14ac:dyDescent="0.3">
      <c r="A27" s="9" t="s">
        <v>48</v>
      </c>
      <c r="E27" s="10" t="s">
        <v>49</v>
      </c>
    </row>
    <row r="28" spans="1:6" x14ac:dyDescent="0.3">
      <c r="A28" s="11" t="s">
        <v>31</v>
      </c>
      <c r="B28" s="12">
        <v>1</v>
      </c>
      <c r="E28" s="13" t="s">
        <v>50</v>
      </c>
      <c r="F28" s="13">
        <v>1</v>
      </c>
    </row>
    <row r="29" spans="1:6" x14ac:dyDescent="0.3">
      <c r="A29" s="11" t="s">
        <v>33</v>
      </c>
      <c r="B29" s="36" t="s">
        <v>50</v>
      </c>
      <c r="C29" s="37"/>
      <c r="E29" s="13" t="s">
        <v>51</v>
      </c>
      <c r="F29" s="13">
        <v>2.8316846592000001E-2</v>
      </c>
    </row>
    <row r="30" spans="1:6" x14ac:dyDescent="0.3">
      <c r="A30" s="15" t="s">
        <v>50</v>
      </c>
      <c r="B30" s="16">
        <f>IF($B$28="","",$B$28*INDEX($F$28:$F$31,MATCH($B$29,$E$28:$E$31,0))/F28)</f>
        <v>1</v>
      </c>
      <c r="E30" s="13" t="s">
        <v>52</v>
      </c>
      <c r="F30" s="13">
        <v>2.8316846592</v>
      </c>
    </row>
    <row r="31" spans="1:6" x14ac:dyDescent="0.3">
      <c r="A31" s="15" t="s">
        <v>51</v>
      </c>
      <c r="B31" s="16">
        <f>IF($B$28="","",$B$28*INDEX($F$28:$F$31,MATCH($B$29,$E$28:$E$31,0))/F29)</f>
        <v>35.314666721488592</v>
      </c>
      <c r="E31" s="13" t="s">
        <v>53</v>
      </c>
      <c r="F31" s="13">
        <v>1E-3</v>
      </c>
    </row>
    <row r="32" spans="1:6" x14ac:dyDescent="0.3">
      <c r="A32" s="15" t="s">
        <v>52</v>
      </c>
      <c r="B32" s="16">
        <f>IF($B$28="","",$B$28*INDEX($F$28:$F$31,MATCH($B$29,$E$28:$E$31,0))/F30)</f>
        <v>0.35314666721488591</v>
      </c>
    </row>
    <row r="33" spans="1:6" x14ac:dyDescent="0.3">
      <c r="A33" s="15" t="s">
        <v>53</v>
      </c>
      <c r="B33" s="16">
        <f>IF($B$28="","",$B$28*INDEX($F$28:$F$31,MATCH($B$29,$E$28:$E$31,0))/F31)</f>
        <v>1000</v>
      </c>
    </row>
    <row r="36" spans="1:6" ht="15.6" x14ac:dyDescent="0.3">
      <c r="A36" s="9" t="s">
        <v>54</v>
      </c>
      <c r="E36" s="10" t="s">
        <v>55</v>
      </c>
    </row>
    <row r="37" spans="1:6" x14ac:dyDescent="0.3">
      <c r="A37" s="11" t="s">
        <v>31</v>
      </c>
      <c r="B37" s="12">
        <v>1</v>
      </c>
      <c r="E37" s="13" t="s">
        <v>56</v>
      </c>
      <c r="F37" s="13">
        <v>1</v>
      </c>
    </row>
    <row r="38" spans="1:6" x14ac:dyDescent="0.3">
      <c r="A38" s="11" t="s">
        <v>33</v>
      </c>
      <c r="B38" s="36" t="s">
        <v>56</v>
      </c>
      <c r="C38" s="37"/>
      <c r="E38" s="13" t="s">
        <v>57</v>
      </c>
      <c r="F38" s="13">
        <v>100</v>
      </c>
    </row>
    <row r="39" spans="1:6" x14ac:dyDescent="0.3">
      <c r="A39" s="15" t="s">
        <v>56</v>
      </c>
      <c r="B39" s="16">
        <f>IF($B$37="","",$B$37*INDEX($F$37:$F$40,MATCH($B$38,$E$37:$E$40,0))/F37)</f>
        <v>1</v>
      </c>
      <c r="E39" s="13" t="s">
        <v>58</v>
      </c>
      <c r="F39" s="13">
        <v>1000</v>
      </c>
    </row>
    <row r="40" spans="1:6" x14ac:dyDescent="0.3">
      <c r="A40" s="15" t="s">
        <v>57</v>
      </c>
      <c r="B40" s="16">
        <f>IF($B$37="","",$B$37*INDEX($F$37:$F$40,MATCH($B$38,$E$37:$E$40,0))/F38)</f>
        <v>0.01</v>
      </c>
      <c r="E40" s="13" t="s">
        <v>59</v>
      </c>
      <c r="F40" s="13">
        <v>50</v>
      </c>
    </row>
    <row r="41" spans="1:6" x14ac:dyDescent="0.3">
      <c r="A41" s="15" t="s">
        <v>58</v>
      </c>
      <c r="B41" s="16">
        <f>IF($B$37="","",$B$37*INDEX($F$37:$F$40,MATCH($B$38,$E$37:$E$40,0))/F39)</f>
        <v>1E-3</v>
      </c>
    </row>
    <row r="42" spans="1:6" x14ac:dyDescent="0.3">
      <c r="A42" s="15" t="s">
        <v>59</v>
      </c>
      <c r="B42" s="16">
        <f>IF($B$37="","",$B$37*INDEX($F$37:$F$40,MATCH($B$38,$E$37:$E$40,0))/F40)</f>
        <v>0.02</v>
      </c>
    </row>
    <row r="45" spans="1:6" ht="15.6" x14ac:dyDescent="0.3">
      <c r="A45" s="9" t="s">
        <v>60</v>
      </c>
      <c r="E45" s="10" t="s">
        <v>61</v>
      </c>
    </row>
    <row r="46" spans="1:6" x14ac:dyDescent="0.3">
      <c r="A46" s="11" t="s">
        <v>31</v>
      </c>
      <c r="B46" s="12">
        <v>1</v>
      </c>
      <c r="E46" s="13" t="s">
        <v>62</v>
      </c>
      <c r="F46" s="13">
        <v>1</v>
      </c>
    </row>
    <row r="47" spans="1:6" x14ac:dyDescent="0.3">
      <c r="A47" s="11" t="s">
        <v>33</v>
      </c>
      <c r="B47" s="36" t="s">
        <v>62</v>
      </c>
      <c r="C47" s="37"/>
      <c r="E47" s="13" t="s">
        <v>63</v>
      </c>
      <c r="F47" s="13">
        <v>9.8066500000000001E-2</v>
      </c>
    </row>
    <row r="48" spans="1:6" x14ac:dyDescent="0.3">
      <c r="A48" s="15" t="s">
        <v>62</v>
      </c>
      <c r="B48" s="16">
        <f>IF($B$46="","",$B$46*INDEX($F$46:$F$48,MATCH($B$47,$E$46:$E$48,0))/F46)</f>
        <v>1</v>
      </c>
      <c r="E48" s="13" t="s">
        <v>64</v>
      </c>
      <c r="F48" s="13">
        <v>6.8947572900000002E-3</v>
      </c>
    </row>
    <row r="49" spans="1:6" x14ac:dyDescent="0.3">
      <c r="A49" s="15" t="s">
        <v>63</v>
      </c>
      <c r="B49" s="16">
        <f>IF($B$46="","",$B$46*INDEX($F$46:$F$48,MATCH($B$47,$E$46:$E$48,0))/F47)</f>
        <v>10.197162129779283</v>
      </c>
    </row>
    <row r="50" spans="1:6" x14ac:dyDescent="0.3">
      <c r="A50" s="15" t="s">
        <v>64</v>
      </c>
      <c r="B50" s="16">
        <f>IF($B$46="","",$B$46*INDEX($F$46:$F$48,MATCH($B$47,$E$46:$E$48,0))/F48)</f>
        <v>145.03773779685869</v>
      </c>
    </row>
    <row r="53" spans="1:6" ht="40.049999999999997" customHeight="1" x14ac:dyDescent="0.3">
      <c r="A53" s="35" t="s">
        <v>65</v>
      </c>
      <c r="B53" s="38"/>
      <c r="C53" s="38"/>
      <c r="D53" s="38"/>
      <c r="E53" s="38"/>
      <c r="F53" s="38"/>
    </row>
    <row r="54" spans="1:6" x14ac:dyDescent="0.3">
      <c r="A54" s="38"/>
      <c r="B54" s="38"/>
      <c r="C54" s="38"/>
      <c r="D54" s="38"/>
      <c r="E54" s="38"/>
      <c r="F54" s="38"/>
    </row>
  </sheetData>
  <mergeCells count="6">
    <mergeCell ref="B6:C6"/>
    <mergeCell ref="B38:C38"/>
    <mergeCell ref="B47:C47"/>
    <mergeCell ref="B29:C29"/>
    <mergeCell ref="A53:F54"/>
    <mergeCell ref="B17:C17"/>
  </mergeCells>
  <dataValidations count="5">
    <dataValidation type="list" sqref="B6" xr:uid="{00000000-0002-0000-0100-000000000000}">
      <formula1>$E$5:$E$10</formula1>
    </dataValidation>
    <dataValidation type="list" sqref="B17" xr:uid="{00000000-0002-0000-0100-000001000000}">
      <formula1>$E$16:$E$22</formula1>
    </dataValidation>
    <dataValidation type="list" sqref="B29" xr:uid="{00000000-0002-0000-0100-000002000000}">
      <formula1>$E$28:$E$31</formula1>
    </dataValidation>
    <dataValidation type="list" sqref="B38" xr:uid="{00000000-0002-0000-0100-000003000000}">
      <formula1>$E$37:$E$40</formula1>
    </dataValidation>
    <dataValidation type="list" sqref="B47" xr:uid="{00000000-0002-0000-0100-000004000000}">
      <formula1>$E$46:$E$48</formula1>
    </dataValidation>
  </dataValidations>
  <printOptions horizontalCentered="1"/>
  <pageMargins left="0.45" right="0.45" top="0.6" bottom="0.6" header="0.3" footer="0.3"/>
  <pageSetup paperSize="9" scale="72" orientation="portrait" r:id="rId1"/>
  <headerFooter>
    <oddFooter>&amp;L&amp;8Free from NirmanDost - nirmandost.in - sign up for more free tools&amp;R&amp;8Page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1"/>
  <sheetViews>
    <sheetView showGridLines="0" workbookViewId="0"/>
  </sheetViews>
  <sheetFormatPr defaultRowHeight="14.4" x14ac:dyDescent="0.3"/>
  <cols>
    <col min="1" max="1" width="34" customWidth="1"/>
    <col min="2" max="2" width="16" customWidth="1"/>
    <col min="3" max="3" width="14" customWidth="1"/>
    <col min="4" max="4" width="44" customWidth="1"/>
  </cols>
  <sheetData>
    <row r="1" spans="1:4" ht="21" x14ac:dyDescent="0.4">
      <c r="A1" s="8" t="s">
        <v>66</v>
      </c>
    </row>
    <row r="2" spans="1:4" x14ac:dyDescent="0.3">
      <c r="A2" s="2" t="s">
        <v>67</v>
      </c>
    </row>
    <row r="4" spans="1:4" x14ac:dyDescent="0.3">
      <c r="A4" s="11" t="s">
        <v>68</v>
      </c>
      <c r="B4" s="17">
        <v>4</v>
      </c>
    </row>
    <row r="5" spans="1:4" x14ac:dyDescent="0.3">
      <c r="A5" s="11" t="s">
        <v>69</v>
      </c>
      <c r="B5" s="17">
        <v>5</v>
      </c>
    </row>
    <row r="6" spans="1:4" x14ac:dyDescent="0.3">
      <c r="A6" s="11" t="s">
        <v>70</v>
      </c>
      <c r="B6" s="18">
        <v>0.125</v>
      </c>
      <c r="D6" s="35" t="s">
        <v>71</v>
      </c>
    </row>
    <row r="7" spans="1:4" x14ac:dyDescent="0.3">
      <c r="A7" s="11" t="s">
        <v>72</v>
      </c>
      <c r="B7" s="14" t="s">
        <v>73</v>
      </c>
    </row>
    <row r="9" spans="1:4" ht="30" customHeight="1" x14ac:dyDescent="0.3">
      <c r="A9" s="19" t="s">
        <v>74</v>
      </c>
      <c r="B9" s="19" t="s">
        <v>73</v>
      </c>
      <c r="C9" s="19" t="s">
        <v>75</v>
      </c>
      <c r="D9" s="19" t="s">
        <v>76</v>
      </c>
    </row>
    <row r="10" spans="1:4" x14ac:dyDescent="0.3">
      <c r="A10" s="15" t="s">
        <v>77</v>
      </c>
      <c r="B10" s="15">
        <v>8</v>
      </c>
      <c r="C10" s="15">
        <v>3.4</v>
      </c>
      <c r="D10" s="20" t="s">
        <v>78</v>
      </c>
    </row>
    <row r="11" spans="1:4" x14ac:dyDescent="0.3">
      <c r="A11" s="15" t="s">
        <v>79</v>
      </c>
      <c r="B11" s="15">
        <v>0.42499999999999999</v>
      </c>
      <c r="C11" s="15">
        <v>0.47</v>
      </c>
      <c r="D11" s="20" t="s">
        <v>80</v>
      </c>
    </row>
    <row r="12" spans="1:4" x14ac:dyDescent="0.3">
      <c r="A12" s="15" t="s">
        <v>81</v>
      </c>
      <c r="B12" s="15">
        <v>0.85</v>
      </c>
      <c r="C12" s="15">
        <v>0.89</v>
      </c>
      <c r="D12" s="20" t="s">
        <v>82</v>
      </c>
    </row>
    <row r="15" spans="1:4" x14ac:dyDescent="0.3">
      <c r="A15" s="21" t="s">
        <v>83</v>
      </c>
      <c r="B15" s="22">
        <f>B4*B5*B6</f>
        <v>2.5</v>
      </c>
      <c r="D15" s="35" t="s">
        <v>84</v>
      </c>
    </row>
    <row r="16" spans="1:4" x14ac:dyDescent="0.3">
      <c r="A16" s="21" t="s">
        <v>85</v>
      </c>
      <c r="B16" s="23">
        <f>B15*IF($B$7="1:1.5:3 nominal",B10,C10)</f>
        <v>20</v>
      </c>
      <c r="D16" s="38"/>
    </row>
    <row r="17" spans="1:4" x14ac:dyDescent="0.3">
      <c r="A17" s="21" t="s">
        <v>86</v>
      </c>
      <c r="B17" s="24">
        <f>B16*50/1000</f>
        <v>1</v>
      </c>
      <c r="D17" s="38"/>
    </row>
    <row r="18" spans="1:4" x14ac:dyDescent="0.3">
      <c r="A18" s="21" t="s">
        <v>87</v>
      </c>
      <c r="B18" s="24">
        <f>B15*IF($B$7="1:1.5:3 nominal",B11,C11)</f>
        <v>1.0625</v>
      </c>
      <c r="D18" s="38"/>
    </row>
    <row r="19" spans="1:4" x14ac:dyDescent="0.3">
      <c r="A19" s="21" t="s">
        <v>88</v>
      </c>
      <c r="B19" s="24">
        <f>B15*IF($B$7="1:1.5:3 nominal",B12,C12)</f>
        <v>2.125</v>
      </c>
    </row>
    <row r="20" spans="1:4" x14ac:dyDescent="0.3">
      <c r="A20" s="21" t="s">
        <v>89</v>
      </c>
      <c r="B20" s="23">
        <f>B18/0.028316846592</f>
        <v>37.521833391581623</v>
      </c>
    </row>
    <row r="21" spans="1:4" x14ac:dyDescent="0.3">
      <c r="A21" s="21" t="s">
        <v>90</v>
      </c>
      <c r="B21" s="23">
        <f>B19/0.028316846592</f>
        <v>75.043666783163246</v>
      </c>
    </row>
  </sheetData>
  <mergeCells count="2">
    <mergeCell ref="D15:D18"/>
    <mergeCell ref="D6"/>
  </mergeCells>
  <dataValidations count="1">
    <dataValidation type="list" sqref="B7" xr:uid="{00000000-0002-0000-0200-000000000000}">
      <formula1>"1:1.5:3 nominal,PCC (1:4:8)"</formula1>
    </dataValidation>
  </dataValidations>
  <printOptions horizontalCentered="1"/>
  <pageMargins left="0.45" right="0.45" top="0.6" bottom="0.6" header="0.3" footer="0.3"/>
  <pageSetup paperSize="9" scale="86" orientation="portrait" r:id="rId1"/>
  <headerFooter>
    <oddFooter>&amp;L&amp;8Free from NirmanDost - nirmandost.in - sign up for more free tools&amp;R&amp;8Page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32"/>
  <sheetViews>
    <sheetView showGridLines="0" workbookViewId="0"/>
  </sheetViews>
  <sheetFormatPr defaultRowHeight="14.4" x14ac:dyDescent="0.3"/>
  <cols>
    <col min="1" max="1" width="34" customWidth="1"/>
    <col min="2" max="3" width="16" customWidth="1"/>
    <col min="4" max="4" width="44" customWidth="1"/>
  </cols>
  <sheetData>
    <row r="1" spans="1:4" ht="21" x14ac:dyDescent="0.4">
      <c r="A1" s="8" t="s">
        <v>91</v>
      </c>
    </row>
    <row r="2" spans="1:4" x14ac:dyDescent="0.3">
      <c r="A2" s="2" t="s">
        <v>92</v>
      </c>
    </row>
    <row r="4" spans="1:4" x14ac:dyDescent="0.3">
      <c r="A4" s="11" t="s">
        <v>93</v>
      </c>
      <c r="B4" s="17">
        <v>3</v>
      </c>
    </row>
    <row r="5" spans="1:4" x14ac:dyDescent="0.3">
      <c r="A5" s="11" t="s">
        <v>94</v>
      </c>
      <c r="B5" s="17">
        <v>3</v>
      </c>
    </row>
    <row r="6" spans="1:4" x14ac:dyDescent="0.3">
      <c r="A6" s="11" t="s">
        <v>95</v>
      </c>
      <c r="B6" s="17">
        <v>0</v>
      </c>
    </row>
    <row r="7" spans="1:4" x14ac:dyDescent="0.3">
      <c r="A7" s="11" t="s">
        <v>96</v>
      </c>
      <c r="B7" s="14" t="s">
        <v>97</v>
      </c>
    </row>
    <row r="9" spans="1:4" ht="30" customHeight="1" x14ac:dyDescent="0.3">
      <c r="A9" s="19" t="s">
        <v>98</v>
      </c>
      <c r="B9" s="19" t="s">
        <v>99</v>
      </c>
      <c r="C9" s="19" t="s">
        <v>100</v>
      </c>
      <c r="D9" s="19" t="s">
        <v>76</v>
      </c>
    </row>
    <row r="10" spans="1:4" x14ac:dyDescent="0.3">
      <c r="A10" s="15" t="s">
        <v>101</v>
      </c>
      <c r="B10" s="15">
        <v>494</v>
      </c>
      <c r="C10" s="15">
        <v>56.5</v>
      </c>
      <c r="D10" s="15" t="s">
        <v>102</v>
      </c>
    </row>
    <row r="11" spans="1:4" x14ac:dyDescent="0.3">
      <c r="A11" s="15" t="s">
        <v>77</v>
      </c>
      <c r="B11" s="15">
        <v>1.9</v>
      </c>
      <c r="C11" s="15">
        <v>0.28999999999999998</v>
      </c>
      <c r="D11" s="15" t="s">
        <v>103</v>
      </c>
    </row>
    <row r="12" spans="1:4" x14ac:dyDescent="0.3">
      <c r="A12" s="15" t="s">
        <v>79</v>
      </c>
      <c r="B12" s="15">
        <v>0.26750000000000002</v>
      </c>
      <c r="C12" s="15">
        <v>0.03</v>
      </c>
      <c r="D12" s="15" t="s">
        <v>104</v>
      </c>
    </row>
    <row r="15" spans="1:4" x14ac:dyDescent="0.3">
      <c r="A15" s="21" t="s">
        <v>105</v>
      </c>
      <c r="B15" s="24">
        <f>B4*B5-B6</f>
        <v>9</v>
      </c>
      <c r="D15" s="35" t="s">
        <v>106</v>
      </c>
    </row>
    <row r="16" spans="1:4" x14ac:dyDescent="0.3">
      <c r="A16" s="21" t="s">
        <v>107</v>
      </c>
      <c r="B16" s="22">
        <f>IF(B7="230 mm (full brick)",B15*0.23,B15*0.115)</f>
        <v>2.0700000000000003</v>
      </c>
      <c r="D16" s="38"/>
    </row>
    <row r="17" spans="1:4" x14ac:dyDescent="0.3">
      <c r="A17" s="21" t="s">
        <v>108</v>
      </c>
      <c r="B17" s="25">
        <f>IF(B7="230 mm (full brick)",B16*B10,B15*C10)</f>
        <v>1022.5800000000002</v>
      </c>
      <c r="D17" s="38"/>
    </row>
    <row r="18" spans="1:4" x14ac:dyDescent="0.3">
      <c r="A18" s="21" t="s">
        <v>85</v>
      </c>
      <c r="B18" s="23">
        <f>IF(B7="230 mm (full brick)",B16*B11,B15*C11)</f>
        <v>3.9330000000000003</v>
      </c>
    </row>
    <row r="19" spans="1:4" x14ac:dyDescent="0.3">
      <c r="A19" s="21" t="s">
        <v>87</v>
      </c>
      <c r="B19" s="24">
        <f>IF(B7="230 mm (full brick)",B16*B12,B15*C12)</f>
        <v>0.55372500000000013</v>
      </c>
    </row>
    <row r="22" spans="1:4" ht="15.6" x14ac:dyDescent="0.3">
      <c r="A22" s="9" t="s">
        <v>109</v>
      </c>
    </row>
    <row r="23" spans="1:4" x14ac:dyDescent="0.3">
      <c r="A23" s="11" t="s">
        <v>110</v>
      </c>
      <c r="B23" s="17">
        <v>50</v>
      </c>
    </row>
    <row r="24" spans="1:4" x14ac:dyDescent="0.3">
      <c r="A24" s="11" t="s">
        <v>109</v>
      </c>
      <c r="B24" s="14" t="s">
        <v>111</v>
      </c>
    </row>
    <row r="26" spans="1:4" ht="30" customHeight="1" x14ac:dyDescent="0.3">
      <c r="A26" s="19" t="s">
        <v>112</v>
      </c>
      <c r="B26" s="19" t="s">
        <v>113</v>
      </c>
      <c r="C26" s="19" t="s">
        <v>114</v>
      </c>
      <c r="D26" s="19" t="s">
        <v>76</v>
      </c>
    </row>
    <row r="27" spans="1:4" x14ac:dyDescent="0.3">
      <c r="A27" s="15" t="s">
        <v>77</v>
      </c>
      <c r="B27" s="15">
        <v>0.11</v>
      </c>
      <c r="C27" s="15">
        <v>0.17</v>
      </c>
      <c r="D27" s="15" t="s">
        <v>115</v>
      </c>
    </row>
    <row r="28" spans="1:4" x14ac:dyDescent="0.3">
      <c r="A28" s="15" t="s">
        <v>116</v>
      </c>
      <c r="B28" s="15">
        <v>1.54E-2</v>
      </c>
      <c r="C28" s="15">
        <v>2.4E-2</v>
      </c>
      <c r="D28" s="15" t="s">
        <v>117</v>
      </c>
    </row>
    <row r="31" spans="1:4" x14ac:dyDescent="0.3">
      <c r="A31" s="21" t="s">
        <v>85</v>
      </c>
      <c r="B31" s="23">
        <f>B23*IF(B24="Inside 12 mm",B27,C27)</f>
        <v>5.5</v>
      </c>
    </row>
    <row r="32" spans="1:4" x14ac:dyDescent="0.3">
      <c r="A32" s="21" t="s">
        <v>118</v>
      </c>
      <c r="B32" s="24">
        <f>B23*IF(B24="Inside 12 mm",B28,C28)</f>
        <v>0.77</v>
      </c>
    </row>
  </sheetData>
  <mergeCells count="1">
    <mergeCell ref="D15:D17"/>
  </mergeCells>
  <dataValidations count="2">
    <dataValidation type="list" sqref="B7" xr:uid="{00000000-0002-0000-0300-000000000000}">
      <formula1>"230 mm (full brick),115 mm (half brick)"</formula1>
    </dataValidation>
    <dataValidation type="list" sqref="B24" xr:uid="{00000000-0002-0000-0300-000001000000}">
      <formula1>"Inside 12 mm,Outside 20 mm"</formula1>
    </dataValidation>
  </dataValidations>
  <printOptions horizontalCentered="1"/>
  <pageMargins left="0.45" right="0.45" top="0.6" bottom="0.6" header="0.3" footer="0.3"/>
  <pageSetup paperSize="9" scale="85" orientation="portrait" r:id="rId1"/>
  <headerFooter>
    <oddFooter>&amp;L&amp;8Free from NirmanDost - nirmandost.in - sign up for more free tools&amp;R&amp;8Page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5"/>
  <sheetViews>
    <sheetView showGridLines="0" workbookViewId="0"/>
  </sheetViews>
  <sheetFormatPr defaultRowHeight="14.4" x14ac:dyDescent="0.3"/>
  <cols>
    <col min="1" max="1" width="30" customWidth="1"/>
    <col min="2" max="2" width="16" customWidth="1"/>
    <col min="3" max="3" width="18" customWidth="1"/>
    <col min="4" max="4" width="20" customWidth="1"/>
  </cols>
  <sheetData>
    <row r="1" spans="1:4" ht="21" x14ac:dyDescent="0.4">
      <c r="A1" s="8" t="s">
        <v>119</v>
      </c>
    </row>
    <row r="2" spans="1:4" x14ac:dyDescent="0.3">
      <c r="A2" s="2" t="s">
        <v>120</v>
      </c>
    </row>
    <row r="4" spans="1:4" x14ac:dyDescent="0.3">
      <c r="A4" s="11" t="s">
        <v>121</v>
      </c>
      <c r="B4" s="26">
        <v>12</v>
      </c>
    </row>
    <row r="5" spans="1:4" x14ac:dyDescent="0.3">
      <c r="A5" s="11" t="s">
        <v>122</v>
      </c>
      <c r="B5" s="17">
        <v>12</v>
      </c>
    </row>
    <row r="6" spans="1:4" x14ac:dyDescent="0.3">
      <c r="A6" s="11" t="s">
        <v>123</v>
      </c>
      <c r="B6" s="26">
        <v>10</v>
      </c>
    </row>
    <row r="8" spans="1:4" x14ac:dyDescent="0.3">
      <c r="A8" s="21" t="s">
        <v>124</v>
      </c>
      <c r="B8" s="22">
        <f>B4*B4/162</f>
        <v>0.88888888888888884</v>
      </c>
    </row>
    <row r="9" spans="1:4" x14ac:dyDescent="0.3">
      <c r="A9" s="21" t="s">
        <v>125</v>
      </c>
      <c r="B9" s="24">
        <f>B8*B5</f>
        <v>10.666666666666666</v>
      </c>
    </row>
    <row r="10" spans="1:4" x14ac:dyDescent="0.3">
      <c r="A10" s="21" t="s">
        <v>126</v>
      </c>
      <c r="B10" s="27">
        <f>B9*B6</f>
        <v>106.66666666666666</v>
      </c>
    </row>
    <row r="11" spans="1:4" x14ac:dyDescent="0.3">
      <c r="A11" s="21" t="s">
        <v>127</v>
      </c>
      <c r="B11" s="22">
        <f>B10/1000</f>
        <v>0.10666666666666666</v>
      </c>
    </row>
    <row r="14" spans="1:4" ht="30" customHeight="1" x14ac:dyDescent="0.3">
      <c r="A14" s="19" t="s">
        <v>128</v>
      </c>
      <c r="B14" s="19" t="s">
        <v>129</v>
      </c>
      <c r="C14" s="19" t="s">
        <v>130</v>
      </c>
      <c r="D14" s="19" t="s">
        <v>131</v>
      </c>
    </row>
    <row r="15" spans="1:4" x14ac:dyDescent="0.3">
      <c r="A15" s="15" t="s">
        <v>132</v>
      </c>
      <c r="B15" s="28">
        <f>6*6/162</f>
        <v>0.22222222222222221</v>
      </c>
      <c r="C15" s="29">
        <f t="shared" ref="C15:C22" si="0">B15*12</f>
        <v>2.6666666666666665</v>
      </c>
      <c r="D15" s="30">
        <f t="shared" ref="D15:D22" si="1">1000/C15</f>
        <v>375</v>
      </c>
    </row>
    <row r="16" spans="1:4" x14ac:dyDescent="0.3">
      <c r="A16" s="15" t="s">
        <v>133</v>
      </c>
      <c r="B16" s="28">
        <f>8*8/162</f>
        <v>0.39506172839506171</v>
      </c>
      <c r="C16" s="29">
        <f t="shared" si="0"/>
        <v>4.7407407407407405</v>
      </c>
      <c r="D16" s="30">
        <f t="shared" si="1"/>
        <v>210.9375</v>
      </c>
    </row>
    <row r="17" spans="1:4" x14ac:dyDescent="0.3">
      <c r="A17" s="15" t="s">
        <v>134</v>
      </c>
      <c r="B17" s="28">
        <f>10*10/162</f>
        <v>0.61728395061728392</v>
      </c>
      <c r="C17" s="29">
        <f t="shared" si="0"/>
        <v>7.4074074074074066</v>
      </c>
      <c r="D17" s="30">
        <f t="shared" si="1"/>
        <v>135.00000000000003</v>
      </c>
    </row>
    <row r="18" spans="1:4" x14ac:dyDescent="0.3">
      <c r="A18" s="15" t="s">
        <v>135</v>
      </c>
      <c r="B18" s="28">
        <f>12*12/162</f>
        <v>0.88888888888888884</v>
      </c>
      <c r="C18" s="29">
        <f t="shared" si="0"/>
        <v>10.666666666666666</v>
      </c>
      <c r="D18" s="30">
        <f t="shared" si="1"/>
        <v>93.75</v>
      </c>
    </row>
    <row r="19" spans="1:4" x14ac:dyDescent="0.3">
      <c r="A19" s="15" t="s">
        <v>136</v>
      </c>
      <c r="B19" s="28">
        <f>16*16/162</f>
        <v>1.5802469135802468</v>
      </c>
      <c r="C19" s="29">
        <f t="shared" si="0"/>
        <v>18.962962962962962</v>
      </c>
      <c r="D19" s="30">
        <f t="shared" si="1"/>
        <v>52.734375</v>
      </c>
    </row>
    <row r="20" spans="1:4" x14ac:dyDescent="0.3">
      <c r="A20" s="15" t="s">
        <v>137</v>
      </c>
      <c r="B20" s="28">
        <f>20*20/162</f>
        <v>2.4691358024691357</v>
      </c>
      <c r="C20" s="29">
        <f t="shared" si="0"/>
        <v>29.629629629629626</v>
      </c>
      <c r="D20" s="30">
        <f t="shared" si="1"/>
        <v>33.750000000000007</v>
      </c>
    </row>
    <row r="21" spans="1:4" x14ac:dyDescent="0.3">
      <c r="A21" s="15" t="s">
        <v>138</v>
      </c>
      <c r="B21" s="28">
        <f>25*25/162</f>
        <v>3.8580246913580245</v>
      </c>
      <c r="C21" s="29">
        <f t="shared" si="0"/>
        <v>46.296296296296291</v>
      </c>
      <c r="D21" s="30">
        <f t="shared" si="1"/>
        <v>21.6</v>
      </c>
    </row>
    <row r="22" spans="1:4" x14ac:dyDescent="0.3">
      <c r="A22" s="15" t="s">
        <v>139</v>
      </c>
      <c r="B22" s="28">
        <f>32*32/162</f>
        <v>6.3209876543209873</v>
      </c>
      <c r="C22" s="29">
        <f t="shared" si="0"/>
        <v>75.851851851851848</v>
      </c>
      <c r="D22" s="30">
        <f t="shared" si="1"/>
        <v>13.18359375</v>
      </c>
    </row>
    <row r="24" spans="1:4" x14ac:dyDescent="0.3">
      <c r="A24" s="35" t="s">
        <v>140</v>
      </c>
      <c r="B24" s="38"/>
      <c r="C24" s="38"/>
      <c r="D24" s="38"/>
    </row>
    <row r="25" spans="1:4" x14ac:dyDescent="0.3">
      <c r="A25" s="38"/>
      <c r="B25" s="38"/>
      <c r="C25" s="38"/>
      <c r="D25" s="38"/>
    </row>
  </sheetData>
  <mergeCells count="1">
    <mergeCell ref="A24:D25"/>
  </mergeCells>
  <dataValidations count="1">
    <dataValidation type="list" sqref="B4" xr:uid="{00000000-0002-0000-0400-000000000000}">
      <formula1>"6,8,10,12,16,20,25,32"</formula1>
    </dataValidation>
  </dataValidations>
  <printOptions horizontalCentered="1"/>
  <pageMargins left="0.45" right="0.45" top="0.6" bottom="0.6" header="0.3" footer="0.3"/>
  <pageSetup paperSize="9" orientation="portrait" r:id="rId1"/>
  <headerFooter>
    <oddFooter>&amp;L&amp;8Free from NirmanDost - nirmandost.in - sign up for more free tools&amp;R&amp;8Page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25"/>
  <sheetViews>
    <sheetView showGridLines="0" workbookViewId="0"/>
  </sheetViews>
  <sheetFormatPr defaultRowHeight="14.4" x14ac:dyDescent="0.3"/>
  <cols>
    <col min="1" max="1" width="34" customWidth="1"/>
    <col min="2" max="2" width="16" customWidth="1"/>
    <col min="3" max="3" width="4" customWidth="1"/>
    <col min="4" max="4" width="48" customWidth="1"/>
  </cols>
  <sheetData>
    <row r="1" spans="1:4" ht="21" x14ac:dyDescent="0.4">
      <c r="A1" s="8" t="s">
        <v>141</v>
      </c>
    </row>
    <row r="2" spans="1:4" x14ac:dyDescent="0.3">
      <c r="A2" s="2" t="s">
        <v>142</v>
      </c>
    </row>
    <row r="4" spans="1:4" ht="15.6" x14ac:dyDescent="0.3">
      <c r="A4" s="9" t="s">
        <v>143</v>
      </c>
    </row>
    <row r="5" spans="1:4" x14ac:dyDescent="0.3">
      <c r="A5" s="11" t="s">
        <v>144</v>
      </c>
      <c r="B5" s="26">
        <v>5</v>
      </c>
    </row>
    <row r="6" spans="1:4" x14ac:dyDescent="0.3">
      <c r="A6" s="11" t="s">
        <v>145</v>
      </c>
      <c r="B6" s="26">
        <v>135</v>
      </c>
      <c r="D6" s="35" t="s">
        <v>146</v>
      </c>
    </row>
    <row r="7" spans="1:4" x14ac:dyDescent="0.3">
      <c r="A7" s="11" t="s">
        <v>147</v>
      </c>
      <c r="B7" s="26">
        <v>2</v>
      </c>
      <c r="D7" s="38"/>
    </row>
    <row r="8" spans="1:4" x14ac:dyDescent="0.3">
      <c r="A8" s="31" t="s">
        <v>148</v>
      </c>
      <c r="B8" s="25">
        <f>B5*B6*B7</f>
        <v>1350</v>
      </c>
      <c r="D8" s="38"/>
    </row>
    <row r="11" spans="1:4" ht="15.6" x14ac:dyDescent="0.3">
      <c r="A11" s="9" t="s">
        <v>149</v>
      </c>
    </row>
    <row r="12" spans="1:4" x14ac:dyDescent="0.3">
      <c r="A12" s="11" t="s">
        <v>68</v>
      </c>
      <c r="B12" s="17">
        <v>1.5</v>
      </c>
      <c r="D12" s="35" t="s">
        <v>150</v>
      </c>
    </row>
    <row r="13" spans="1:4" x14ac:dyDescent="0.3">
      <c r="A13" s="11" t="s">
        <v>151</v>
      </c>
      <c r="B13" s="17">
        <v>1.2</v>
      </c>
      <c r="D13" s="38"/>
    </row>
    <row r="14" spans="1:4" x14ac:dyDescent="0.3">
      <c r="A14" s="11" t="s">
        <v>152</v>
      </c>
      <c r="B14" s="17">
        <v>1</v>
      </c>
    </row>
    <row r="15" spans="1:4" x14ac:dyDescent="0.3">
      <c r="A15" s="31" t="s">
        <v>153</v>
      </c>
      <c r="B15" s="25">
        <f>B12*B13*B14*1000</f>
        <v>1799.9999999999998</v>
      </c>
    </row>
    <row r="16" spans="1:4" x14ac:dyDescent="0.3">
      <c r="A16" s="11" t="s">
        <v>154</v>
      </c>
      <c r="B16" s="17">
        <v>1.2</v>
      </c>
    </row>
    <row r="17" spans="1:4" x14ac:dyDescent="0.3">
      <c r="A17" s="11" t="s">
        <v>155</v>
      </c>
      <c r="B17" s="17">
        <v>1</v>
      </c>
    </row>
    <row r="18" spans="1:4" x14ac:dyDescent="0.3">
      <c r="A18" s="31" t="s">
        <v>156</v>
      </c>
      <c r="B18" s="25">
        <f>PI()*(B16/2)^2*B17*1000</f>
        <v>1130.9733552923256</v>
      </c>
    </row>
    <row r="21" spans="1:4" ht="15.6" x14ac:dyDescent="0.3">
      <c r="A21" s="9" t="s">
        <v>157</v>
      </c>
    </row>
    <row r="22" spans="1:4" x14ac:dyDescent="0.3">
      <c r="A22" s="11" t="s">
        <v>158</v>
      </c>
      <c r="B22" s="32">
        <v>100</v>
      </c>
      <c r="D22" s="35" t="s">
        <v>159</v>
      </c>
    </row>
    <row r="23" spans="1:4" x14ac:dyDescent="0.3">
      <c r="A23" s="11" t="s">
        <v>160</v>
      </c>
      <c r="B23" s="26">
        <v>764</v>
      </c>
      <c r="D23" s="38"/>
    </row>
    <row r="24" spans="1:4" x14ac:dyDescent="0.3">
      <c r="A24" s="11" t="s">
        <v>161</v>
      </c>
      <c r="B24" s="17">
        <v>0.85</v>
      </c>
      <c r="D24" s="38"/>
    </row>
    <row r="25" spans="1:4" x14ac:dyDescent="0.3">
      <c r="A25" s="31" t="s">
        <v>162</v>
      </c>
      <c r="B25" s="25">
        <f>B22*B23*B24</f>
        <v>64940</v>
      </c>
      <c r="D25" s="38"/>
    </row>
  </sheetData>
  <mergeCells count="3">
    <mergeCell ref="D22:D25"/>
    <mergeCell ref="D6:D8"/>
    <mergeCell ref="D12:D13"/>
  </mergeCells>
  <printOptions horizontalCentered="1"/>
  <pageMargins left="0.45" right="0.45" top="0.6" bottom="0.6" header="0.3" footer="0.3"/>
  <pageSetup paperSize="9" scale="92" orientation="portrait" r:id="rId1"/>
  <headerFooter>
    <oddFooter>&amp;L&amp;8Free from NirmanDost - nirmandost.in - sign up for more free tools&amp;R&amp;8Page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4"/>
  <sheetViews>
    <sheetView showGridLines="0" workbookViewId="0"/>
  </sheetViews>
  <sheetFormatPr defaultRowHeight="14.4" x14ac:dyDescent="0.3"/>
  <cols>
    <col min="1" max="1" width="34" customWidth="1"/>
    <col min="2" max="2" width="16" customWidth="1"/>
    <col min="3" max="3" width="4" customWidth="1"/>
    <col min="4" max="4" width="48" customWidth="1"/>
  </cols>
  <sheetData>
    <row r="1" spans="1:4" ht="21" x14ac:dyDescent="0.4">
      <c r="A1" s="8" t="s">
        <v>163</v>
      </c>
    </row>
    <row r="2" spans="1:4" x14ac:dyDescent="0.3">
      <c r="A2" s="2" t="s">
        <v>164</v>
      </c>
    </row>
    <row r="4" spans="1:4" ht="15.6" x14ac:dyDescent="0.3">
      <c r="A4" s="9" t="s">
        <v>165</v>
      </c>
    </row>
    <row r="5" spans="1:4" x14ac:dyDescent="0.3">
      <c r="A5" s="11" t="s">
        <v>166</v>
      </c>
      <c r="B5" s="17">
        <v>3</v>
      </c>
      <c r="D5" s="35" t="s">
        <v>167</v>
      </c>
    </row>
    <row r="6" spans="1:4" x14ac:dyDescent="0.3">
      <c r="A6" s="11" t="s">
        <v>168</v>
      </c>
      <c r="B6" s="17">
        <v>4</v>
      </c>
      <c r="D6" s="38"/>
    </row>
    <row r="7" spans="1:4" x14ac:dyDescent="0.3">
      <c r="A7" s="31" t="s">
        <v>169</v>
      </c>
      <c r="B7" s="24">
        <f>SQRT(B5^2+B6^2)</f>
        <v>5</v>
      </c>
      <c r="D7" s="38"/>
    </row>
    <row r="10" spans="1:4" ht="15.6" x14ac:dyDescent="0.3">
      <c r="A10" s="9" t="s">
        <v>170</v>
      </c>
    </row>
    <row r="11" spans="1:4" x14ac:dyDescent="0.3">
      <c r="A11" s="11" t="s">
        <v>171</v>
      </c>
      <c r="B11" s="17">
        <v>12</v>
      </c>
      <c r="D11" s="35" t="s">
        <v>172</v>
      </c>
    </row>
    <row r="12" spans="1:4" x14ac:dyDescent="0.3">
      <c r="A12" s="11" t="s">
        <v>173</v>
      </c>
      <c r="B12" s="17">
        <v>10</v>
      </c>
      <c r="D12" s="38"/>
    </row>
    <row r="13" spans="1:4" x14ac:dyDescent="0.3">
      <c r="A13" s="31" t="s">
        <v>174</v>
      </c>
      <c r="B13" s="24">
        <f>SQRT(B11^2+B12^2)</f>
        <v>15.620499351813308</v>
      </c>
      <c r="D13" s="38"/>
    </row>
    <row r="14" spans="1:4" x14ac:dyDescent="0.3">
      <c r="A14" s="11" t="s">
        <v>175</v>
      </c>
      <c r="B14" s="17">
        <v>15.62</v>
      </c>
      <c r="D14" s="38"/>
    </row>
    <row r="15" spans="1:4" x14ac:dyDescent="0.3">
      <c r="A15" s="11" t="s">
        <v>176</v>
      </c>
      <c r="B15" s="17">
        <v>15.62</v>
      </c>
    </row>
    <row r="16" spans="1:4" x14ac:dyDescent="0.3">
      <c r="A16" s="31" t="s">
        <v>177</v>
      </c>
      <c r="B16" s="33" t="str">
        <f>IF(OR(B14="",B15=""),"",IF(AND(ABS(B14-B13)&lt;=0.02*B13,ABS(B15-B13)&lt;=0.02*B13),"Square","Check the corners"))</f>
        <v>Square</v>
      </c>
    </row>
    <row r="19" spans="1:4" ht="15.6" x14ac:dyDescent="0.3">
      <c r="A19" s="9" t="s">
        <v>178</v>
      </c>
    </row>
    <row r="20" spans="1:4" x14ac:dyDescent="0.3">
      <c r="A20" s="11" t="s">
        <v>179</v>
      </c>
      <c r="B20" s="17">
        <v>20</v>
      </c>
      <c r="D20" s="35" t="s">
        <v>180</v>
      </c>
    </row>
    <row r="21" spans="1:4" x14ac:dyDescent="0.3">
      <c r="A21" s="11" t="s">
        <v>181</v>
      </c>
      <c r="B21" s="17">
        <v>0.9</v>
      </c>
      <c r="D21" s="38"/>
    </row>
    <row r="22" spans="1:4" x14ac:dyDescent="0.3">
      <c r="A22" s="11" t="s">
        <v>182</v>
      </c>
      <c r="B22" s="17">
        <v>1.2</v>
      </c>
      <c r="D22" s="38"/>
    </row>
    <row r="23" spans="1:4" x14ac:dyDescent="0.3">
      <c r="A23" s="31" t="s">
        <v>183</v>
      </c>
      <c r="B23" s="24">
        <f>B20*B21*B22</f>
        <v>21.599999999999998</v>
      </c>
      <c r="D23" s="38"/>
    </row>
    <row r="24" spans="1:4" x14ac:dyDescent="0.3">
      <c r="A24" s="31" t="s">
        <v>184</v>
      </c>
      <c r="B24" s="23">
        <f>B23*0.2</f>
        <v>4.3199999999999994</v>
      </c>
    </row>
  </sheetData>
  <mergeCells count="3">
    <mergeCell ref="D20:D23"/>
    <mergeCell ref="D5:D7"/>
    <mergeCell ref="D11:D14"/>
  </mergeCells>
  <printOptions horizontalCentered="1"/>
  <pageMargins left="0.45" right="0.45" top="0.6" bottom="0.6" header="0.3" footer="0.3"/>
  <pageSetup paperSize="9" scale="92" orientation="portrait" r:id="rId1"/>
  <headerFooter>
    <oddFooter>&amp;L&amp;8Free from NirmanDost - nirmandost.in - sign up for more free tools&amp;R&amp;8Page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19"/>
  <sheetViews>
    <sheetView showGridLines="0" workbookViewId="0"/>
  </sheetViews>
  <sheetFormatPr defaultRowHeight="14.4" x14ac:dyDescent="0.3"/>
  <cols>
    <col min="1" max="1" width="40" customWidth="1"/>
    <col min="2" max="2" width="22" customWidth="1"/>
    <col min="3" max="3" width="70" customWidth="1"/>
  </cols>
  <sheetData>
    <row r="1" spans="1:3" ht="21" x14ac:dyDescent="0.4">
      <c r="A1" s="8" t="s">
        <v>22</v>
      </c>
    </row>
    <row r="2" spans="1:3" x14ac:dyDescent="0.3">
      <c r="A2" s="2" t="s">
        <v>185</v>
      </c>
    </row>
    <row r="4" spans="1:3" ht="30" customHeight="1" x14ac:dyDescent="0.3">
      <c r="A4" s="19" t="s">
        <v>186</v>
      </c>
      <c r="B4" s="19" t="s">
        <v>31</v>
      </c>
      <c r="C4" s="19" t="s">
        <v>76</v>
      </c>
    </row>
    <row r="5" spans="1:3" ht="26.4" x14ac:dyDescent="0.3">
      <c r="A5" s="34" t="s">
        <v>187</v>
      </c>
      <c r="B5" s="34" t="s">
        <v>188</v>
      </c>
      <c r="C5" s="34" t="s">
        <v>189</v>
      </c>
    </row>
    <row r="6" spans="1:3" ht="26.4" x14ac:dyDescent="0.3">
      <c r="A6" s="34" t="s">
        <v>190</v>
      </c>
      <c r="B6" s="34" t="s">
        <v>191</v>
      </c>
      <c r="C6" s="34" t="s">
        <v>192</v>
      </c>
    </row>
    <row r="7" spans="1:3" ht="26.4" x14ac:dyDescent="0.3">
      <c r="A7" s="34" t="s">
        <v>193</v>
      </c>
      <c r="B7" s="34" t="s">
        <v>194</v>
      </c>
      <c r="C7" s="34" t="s">
        <v>195</v>
      </c>
    </row>
    <row r="8" spans="1:3" ht="26.4" x14ac:dyDescent="0.3">
      <c r="A8" s="34" t="s">
        <v>196</v>
      </c>
      <c r="B8" s="34" t="s">
        <v>197</v>
      </c>
      <c r="C8" s="34" t="s">
        <v>198</v>
      </c>
    </row>
    <row r="9" spans="1:3" ht="26.4" x14ac:dyDescent="0.3">
      <c r="A9" s="34" t="s">
        <v>199</v>
      </c>
      <c r="B9" s="34" t="s">
        <v>200</v>
      </c>
      <c r="C9" s="34" t="s">
        <v>201</v>
      </c>
    </row>
    <row r="10" spans="1:3" x14ac:dyDescent="0.3">
      <c r="A10" s="34" t="s">
        <v>202</v>
      </c>
      <c r="B10" s="34" t="s">
        <v>203</v>
      </c>
      <c r="C10" s="34" t="s">
        <v>204</v>
      </c>
    </row>
    <row r="11" spans="1:3" ht="26.4" x14ac:dyDescent="0.3">
      <c r="A11" s="34" t="s">
        <v>205</v>
      </c>
      <c r="B11" s="34" t="s">
        <v>206</v>
      </c>
      <c r="C11" s="34" t="s">
        <v>207</v>
      </c>
    </row>
    <row r="12" spans="1:3" x14ac:dyDescent="0.3">
      <c r="A12" s="34" t="s">
        <v>208</v>
      </c>
      <c r="B12" s="34" t="s">
        <v>209</v>
      </c>
      <c r="C12" s="34" t="s">
        <v>210</v>
      </c>
    </row>
    <row r="13" spans="1:3" x14ac:dyDescent="0.3">
      <c r="A13" s="34" t="s">
        <v>211</v>
      </c>
      <c r="B13" s="34" t="s">
        <v>212</v>
      </c>
      <c r="C13" s="34" t="s">
        <v>213</v>
      </c>
    </row>
    <row r="14" spans="1:3" x14ac:dyDescent="0.3">
      <c r="A14" s="34" t="s">
        <v>214</v>
      </c>
      <c r="B14" s="34" t="s">
        <v>215</v>
      </c>
      <c r="C14" s="34" t="s">
        <v>216</v>
      </c>
    </row>
    <row r="15" spans="1:3" x14ac:dyDescent="0.3">
      <c r="A15" s="34" t="s">
        <v>217</v>
      </c>
      <c r="B15" s="34" t="s">
        <v>218</v>
      </c>
      <c r="C15" s="34" t="s">
        <v>219</v>
      </c>
    </row>
    <row r="16" spans="1:3" x14ac:dyDescent="0.3">
      <c r="A16" s="34" t="s">
        <v>220</v>
      </c>
      <c r="B16" s="34" t="s">
        <v>221</v>
      </c>
      <c r="C16" s="34" t="s">
        <v>222</v>
      </c>
    </row>
    <row r="17" spans="1:3" ht="26.4" x14ac:dyDescent="0.3">
      <c r="A17" s="34" t="s">
        <v>223</v>
      </c>
      <c r="B17" s="34" t="s">
        <v>224</v>
      </c>
      <c r="C17" s="34" t="s">
        <v>225</v>
      </c>
    </row>
    <row r="19" spans="1:3" x14ac:dyDescent="0.3">
      <c r="A19" s="35" t="s">
        <v>226</v>
      </c>
      <c r="B19" s="38"/>
      <c r="C19" s="38"/>
    </row>
  </sheetData>
  <mergeCells count="1">
    <mergeCell ref="A19:C19"/>
  </mergeCells>
  <printOptions horizontalCentered="1"/>
  <pageMargins left="0.45" right="0.45" top="0.6" bottom="0.6" header="0.3" footer="0.3"/>
  <pageSetup paperSize="9" scale="71" orientation="portrait" r:id="rId1"/>
  <headerFooter>
    <oddFooter>&amp;L&amp;8Free from NirmanDost - nirmandost.in - sign up for more free tools&amp;R&amp;8Page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About</vt:lpstr>
      <vt:lpstr>Converter</vt:lpstr>
      <vt:lpstr>Concrete</vt:lpstr>
      <vt:lpstr>Brickwork and plaster</vt:lpstr>
      <vt:lpstr>Steel</vt:lpstr>
      <vt:lpstr>Water and rain</vt:lpstr>
      <vt:lpstr>Layout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Shivam Dave</cp:lastModifiedBy>
  <cp:lastPrinted>2026-10-10T07:36:26Z</cp:lastPrinted>
  <dcterms:created xsi:type="dcterms:W3CDTF">2026-10-10T07:34:34Z</dcterms:created>
  <dcterms:modified xsi:type="dcterms:W3CDTF">2026-10-10T07:36:27Z</dcterms:modified>
</cp:coreProperties>
</file>